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E65A70-072A-4DC8-9C14-BF6D3CD977DF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Спасибо" sheetId="42" r:id="rId1"/>
    <sheet name="СОДЕРЖАНИЕ" sheetId="23" r:id="rId2"/>
    <sheet name="1.1 Фасадные работы" sheetId="5" r:id="rId3"/>
    <sheet name="1.2 Русты" sheetId="4" r:id="rId4"/>
    <sheet name="1.3 Мокрый фасад" sheetId="6" r:id="rId5"/>
    <sheet name="1.4 ПОДГОТОВКА" sheetId="7" r:id="rId6"/>
    <sheet name="1.5 СТЕКЛОПАКЕТЫ" sheetId="8" r:id="rId7"/>
    <sheet name="1.6 БАННЕРА" sheetId="9" r:id="rId8"/>
    <sheet name="1.7 Наплавляйка" sheetId="10" r:id="rId9"/>
    <sheet name="1.8 Кровельный пирог" sheetId="11" r:id="rId10"/>
    <sheet name="1.9 Леса и сетки" sheetId="12" r:id="rId11"/>
    <sheet name="1.10 Молдинги" sheetId="13" r:id="rId12"/>
    <sheet name="2.1 ВЕНТФАСАДЫ" sheetId="14" r:id="rId13"/>
    <sheet name="2.2 Очистка водосточки" sheetId="15" r:id="rId14"/>
    <sheet name="2.3 Такелажные работы" sheetId="16" r:id="rId15"/>
    <sheet name="2.4 Сэндвич-панели" sheetId="17" r:id="rId16"/>
    <sheet name="2.5 Герметизация мп швов" sheetId="18" r:id="rId17"/>
    <sheet name="2.6 Ставки, коэффициенты" sheetId="19" r:id="rId18"/>
    <sheet name="2.7 АКЗ" sheetId="21" r:id="rId19"/>
    <sheet name="2.8 Маркировочная покраска" sheetId="22" r:id="rId20"/>
    <sheet name="2.9 Очистка фасада" sheetId="24" r:id="rId21"/>
    <sheet name="2.10 Пескоструй резервуаров" sheetId="25" r:id="rId22"/>
    <sheet name="2.11 Пескоструй металла" sheetId="26" r:id="rId23"/>
    <sheet name="3.1 Деф.швы и молниеотводы" sheetId="27" r:id="rId24"/>
    <sheet name="3.2 Кондиционеры" sheetId="28" r:id="rId25"/>
    <sheet name="3.3 Демонтаж дымовых труб" sheetId="31" r:id="rId26"/>
    <sheet name="3.4 Защита склонов от осыпей" sheetId="32" r:id="rId27"/>
    <sheet name="3.5 Огнезащита" sheetId="33" r:id="rId28"/>
    <sheet name="3.6 Клининг" sheetId="34" r:id="rId29"/>
    <sheet name="3.7 Деревья" sheetId="35" r:id="rId30"/>
    <sheet name="3.8 Буквы" sheetId="37" r:id="rId31"/>
    <sheet name="3.9 Воздуховоды" sheetId="36" r:id="rId32"/>
    <sheet name="4.1 Фасадное освещение" sheetId="38" r:id="rId33"/>
    <sheet name="4.2 Корзины под сплиты" sheetId="40" r:id="rId34"/>
    <sheet name="4.3 Снег, наледь, сосульки" sheetId="41" r:id="rId35"/>
    <sheet name="4.4 Штукатурные работы" sheetId="43" r:id="rId36"/>
    <sheet name="4.5 Водосточная система" sheetId="44" r:id="rId37"/>
    <sheet name="4.6 ПНД трубы" sheetId="45" r:id="rId38"/>
    <sheet name="инфляция" sheetId="39" r:id="rId3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4" l="1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15" i="34"/>
  <c r="G5" i="34"/>
  <c r="F5" i="34"/>
  <c r="D6" i="34"/>
  <c r="E6" i="34"/>
  <c r="D7" i="34"/>
  <c r="E7" i="34"/>
  <c r="D8" i="34"/>
  <c r="E8" i="34"/>
  <c r="D9" i="34"/>
  <c r="E9" i="34"/>
  <c r="D10" i="34"/>
  <c r="E10" i="34"/>
  <c r="D11" i="34"/>
  <c r="E11" i="34"/>
  <c r="D12" i="34"/>
  <c r="E12" i="34"/>
  <c r="D13" i="34"/>
  <c r="E13" i="34"/>
  <c r="D14" i="34"/>
  <c r="E14" i="34"/>
  <c r="D15" i="34"/>
  <c r="E15" i="34"/>
  <c r="E5" i="34"/>
  <c r="D5" i="34"/>
  <c r="D36" i="35"/>
  <c r="B5" i="35"/>
  <c r="G6" i="19"/>
  <c r="E6" i="19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D19" i="5"/>
  <c r="D18" i="5"/>
  <c r="D17" i="5"/>
  <c r="D8" i="5"/>
  <c r="D4" i="5"/>
  <c r="H4" i="7"/>
  <c r="H5" i="7"/>
  <c r="H6" i="7"/>
  <c r="H7" i="7"/>
  <c r="H8" i="7"/>
  <c r="H9" i="7"/>
  <c r="H10" i="7"/>
  <c r="H11" i="7"/>
  <c r="H12" i="7"/>
  <c r="H13" i="7"/>
  <c r="H14" i="7"/>
  <c r="H15" i="7"/>
  <c r="H16" i="7"/>
  <c r="D16" i="7"/>
  <c r="M5" i="19"/>
  <c r="M6" i="19"/>
  <c r="M7" i="19"/>
  <c r="M8" i="19"/>
  <c r="M9" i="19"/>
  <c r="D9" i="19"/>
  <c r="D6" i="19"/>
  <c r="D5" i="19"/>
  <c r="E5" i="19"/>
  <c r="G5" i="19"/>
  <c r="I4" i="12"/>
  <c r="I5" i="12"/>
  <c r="I6" i="12"/>
  <c r="I7" i="12"/>
  <c r="I8" i="12"/>
  <c r="I9" i="12"/>
  <c r="I10" i="12"/>
  <c r="I11" i="12"/>
  <c r="I12" i="12"/>
  <c r="I13" i="12"/>
  <c r="I15" i="12"/>
  <c r="I16" i="12"/>
  <c r="I17" i="12"/>
  <c r="I18" i="12"/>
  <c r="I19" i="12"/>
  <c r="I20" i="12"/>
  <c r="D20" i="12"/>
  <c r="D19" i="12"/>
  <c r="D18" i="12"/>
  <c r="D17" i="12"/>
  <c r="D16" i="12"/>
  <c r="D15" i="12"/>
  <c r="I14" i="12"/>
  <c r="D14" i="12"/>
  <c r="D15" i="7"/>
  <c r="D14" i="7"/>
  <c r="D12" i="7"/>
  <c r="I4" i="4"/>
  <c r="I5" i="4"/>
  <c r="D5" i="4"/>
  <c r="M6" i="21"/>
  <c r="M7" i="21"/>
  <c r="D7" i="21"/>
  <c r="E34" i="21"/>
  <c r="E32" i="21"/>
  <c r="M8" i="21"/>
  <c r="M9" i="21"/>
  <c r="M10" i="21"/>
  <c r="D10" i="21"/>
  <c r="F34" i="21"/>
  <c r="F32" i="21"/>
  <c r="M11" i="21"/>
  <c r="D11" i="21"/>
  <c r="G34" i="21"/>
  <c r="G32" i="21"/>
  <c r="E31" i="21"/>
  <c r="F31" i="21"/>
  <c r="G31" i="21"/>
  <c r="D6" i="21"/>
  <c r="D34" i="21"/>
  <c r="D31" i="21"/>
  <c r="D32" i="21"/>
  <c r="E33" i="21"/>
  <c r="F33" i="21"/>
  <c r="G33" i="21"/>
  <c r="D33" i="21"/>
  <c r="M12" i="21"/>
  <c r="M13" i="21"/>
  <c r="D13" i="21"/>
  <c r="D28" i="21"/>
  <c r="D27" i="21"/>
  <c r="D25" i="21"/>
  <c r="D26" i="21"/>
  <c r="D12" i="21"/>
  <c r="D23" i="21"/>
  <c r="D22" i="21"/>
  <c r="D20" i="21"/>
  <c r="D21" i="21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D44" i="28"/>
  <c r="Q4" i="41"/>
  <c r="F4" i="41"/>
  <c r="D20" i="41"/>
  <c r="D19" i="41"/>
  <c r="D18" i="41"/>
  <c r="D17" i="41"/>
  <c r="D16" i="41"/>
  <c r="D15" i="41"/>
  <c r="D14" i="41"/>
  <c r="D11" i="41"/>
  <c r="D10" i="41"/>
  <c r="D9" i="41"/>
  <c r="D8" i="41"/>
  <c r="D7" i="41"/>
  <c r="D12" i="41"/>
  <c r="D6" i="41"/>
  <c r="X21" i="41"/>
  <c r="M5" i="34"/>
  <c r="M6" i="34"/>
  <c r="M7" i="34"/>
  <c r="M8" i="34"/>
  <c r="M9" i="34"/>
  <c r="M10" i="34"/>
  <c r="M11" i="34"/>
  <c r="M12" i="34"/>
  <c r="M13" i="34"/>
  <c r="M14" i="34"/>
  <c r="M15" i="34"/>
  <c r="M5" i="22"/>
  <c r="M6" i="22"/>
  <c r="M7" i="22"/>
  <c r="M8" i="22"/>
  <c r="M9" i="22"/>
  <c r="M10" i="22"/>
  <c r="M14" i="22"/>
  <c r="M15" i="22"/>
  <c r="M16" i="22"/>
  <c r="M17" i="22"/>
  <c r="D17" i="22"/>
  <c r="G14" i="22"/>
  <c r="F14" i="22"/>
  <c r="E14" i="22"/>
  <c r="D14" i="22"/>
  <c r="G15" i="22"/>
  <c r="F15" i="22"/>
  <c r="E15" i="22"/>
  <c r="D15" i="22"/>
  <c r="G16" i="22"/>
  <c r="F16" i="22"/>
  <c r="E16" i="22"/>
  <c r="D16" i="22"/>
  <c r="G5" i="11"/>
  <c r="G6" i="11"/>
  <c r="F7" i="11"/>
  <c r="K6" i="11"/>
  <c r="K7" i="11"/>
  <c r="D7" i="11"/>
  <c r="I7" i="11"/>
  <c r="G7" i="11"/>
  <c r="F8" i="11"/>
  <c r="K8" i="11"/>
  <c r="D8" i="11"/>
  <c r="I8" i="11"/>
  <c r="G8" i="11"/>
  <c r="F9" i="11"/>
  <c r="K9" i="11"/>
  <c r="D9" i="11"/>
  <c r="I9" i="11"/>
  <c r="G9" i="11"/>
  <c r="F10" i="11"/>
  <c r="K10" i="11"/>
  <c r="D10" i="11"/>
  <c r="I10" i="11"/>
  <c r="K11" i="11"/>
  <c r="D11" i="11"/>
  <c r="I11" i="11"/>
  <c r="G10" i="11"/>
  <c r="F12" i="11"/>
  <c r="K12" i="11"/>
  <c r="D12" i="11"/>
  <c r="I12" i="11"/>
  <c r="K13" i="11"/>
  <c r="D13" i="11"/>
  <c r="I13" i="11"/>
  <c r="G12" i="11"/>
  <c r="F14" i="11"/>
  <c r="K14" i="11"/>
  <c r="D14" i="11"/>
  <c r="I14" i="11"/>
  <c r="G14" i="11"/>
  <c r="F15" i="11"/>
  <c r="K15" i="11"/>
  <c r="D15" i="11"/>
  <c r="I15" i="11"/>
  <c r="G15" i="11"/>
  <c r="F16" i="11"/>
  <c r="K16" i="11"/>
  <c r="D16" i="11"/>
  <c r="I16" i="11"/>
  <c r="G16" i="11"/>
  <c r="F17" i="11"/>
  <c r="K17" i="11"/>
  <c r="D17" i="11"/>
  <c r="I17" i="11"/>
  <c r="G17" i="11"/>
  <c r="F18" i="11"/>
  <c r="K18" i="11"/>
  <c r="D18" i="11"/>
  <c r="I18" i="11"/>
  <c r="G18" i="11"/>
  <c r="F19" i="11"/>
  <c r="K19" i="11"/>
  <c r="D19" i="11"/>
  <c r="I19" i="11"/>
  <c r="G19" i="11"/>
  <c r="F20" i="11"/>
  <c r="K20" i="11"/>
  <c r="D20" i="11"/>
  <c r="I20" i="11"/>
  <c r="G20" i="11"/>
  <c r="F21" i="11"/>
  <c r="K21" i="11"/>
  <c r="D21" i="11"/>
  <c r="I21" i="11"/>
  <c r="G21" i="11"/>
  <c r="F22" i="11"/>
  <c r="K22" i="11"/>
  <c r="D22" i="11"/>
  <c r="I22" i="11"/>
  <c r="G22" i="11"/>
  <c r="F23" i="11"/>
  <c r="K23" i="11"/>
  <c r="D23" i="11"/>
  <c r="I23" i="11"/>
  <c r="G23" i="11"/>
  <c r="F24" i="11"/>
  <c r="K24" i="11"/>
  <c r="D24" i="11"/>
  <c r="I24" i="11"/>
  <c r="G24" i="11"/>
  <c r="F25" i="11"/>
  <c r="K25" i="11"/>
  <c r="D25" i="11"/>
  <c r="I25" i="11"/>
  <c r="G25" i="11"/>
  <c r="F26" i="11"/>
  <c r="K26" i="11"/>
  <c r="D26" i="11"/>
  <c r="I26" i="11"/>
  <c r="G26" i="11"/>
  <c r="F27" i="11"/>
  <c r="K27" i="11"/>
  <c r="D27" i="11"/>
  <c r="I27" i="11"/>
  <c r="G27" i="11"/>
  <c r="F28" i="11"/>
  <c r="K28" i="11"/>
  <c r="D28" i="11"/>
  <c r="I28" i="11"/>
  <c r="K29" i="11"/>
  <c r="D29" i="11"/>
  <c r="I29" i="11"/>
  <c r="K30" i="11"/>
  <c r="D30" i="11"/>
  <c r="I30" i="11"/>
  <c r="G28" i="11"/>
  <c r="F31" i="11"/>
  <c r="K31" i="11"/>
  <c r="D31" i="11"/>
  <c r="I31" i="11"/>
  <c r="K32" i="11"/>
  <c r="D32" i="11"/>
  <c r="I32" i="11"/>
  <c r="G31" i="11"/>
  <c r="F33" i="11"/>
  <c r="K33" i="11"/>
  <c r="D33" i="11"/>
  <c r="I33" i="11"/>
  <c r="G33" i="11"/>
  <c r="F34" i="11"/>
  <c r="K34" i="11"/>
  <c r="D34" i="11"/>
  <c r="I34" i="11"/>
  <c r="G34" i="11"/>
  <c r="F35" i="11"/>
  <c r="K35" i="11"/>
  <c r="D35" i="11"/>
  <c r="I35" i="11"/>
  <c r="K36" i="11"/>
  <c r="D36" i="11"/>
  <c r="I36" i="11"/>
  <c r="K37" i="11"/>
  <c r="D37" i="11"/>
  <c r="I37" i="11"/>
  <c r="G35" i="11"/>
  <c r="F38" i="11"/>
  <c r="K38" i="11"/>
  <c r="D38" i="11"/>
  <c r="I38" i="11"/>
  <c r="G38" i="11"/>
  <c r="F39" i="11"/>
  <c r="K39" i="11"/>
  <c r="D39" i="11"/>
  <c r="I39" i="11"/>
  <c r="G39" i="11"/>
  <c r="F40" i="11"/>
  <c r="K40" i="11"/>
  <c r="D40" i="11"/>
  <c r="I40" i="11"/>
  <c r="G40" i="11"/>
  <c r="F41" i="11"/>
  <c r="K41" i="11"/>
  <c r="D41" i="11"/>
  <c r="I41" i="11"/>
  <c r="G41" i="11"/>
  <c r="F42" i="11"/>
  <c r="K42" i="11"/>
  <c r="D42" i="11"/>
  <c r="I42" i="11"/>
  <c r="F6" i="11"/>
  <c r="D6" i="11"/>
  <c r="I6" i="11"/>
  <c r="B1" i="5"/>
  <c r="B1" i="4"/>
  <c r="B1" i="6"/>
  <c r="B1" i="7"/>
  <c r="B1" i="8"/>
  <c r="B1" i="9"/>
  <c r="B1" i="10"/>
  <c r="B1" i="11"/>
  <c r="B1" i="12"/>
  <c r="B1" i="13"/>
  <c r="B1" i="14"/>
  <c r="B1" i="15"/>
  <c r="B1" i="16"/>
  <c r="B1" i="17"/>
  <c r="B1" i="18"/>
  <c r="B1" i="19"/>
  <c r="B1" i="21"/>
  <c r="B1" i="22"/>
  <c r="B1" i="24"/>
  <c r="B1" i="25"/>
  <c r="B1" i="26"/>
  <c r="B1" i="27"/>
  <c r="B1" i="28"/>
  <c r="B1" i="31"/>
  <c r="B1" i="32"/>
  <c r="B1" i="33"/>
  <c r="B1" i="34"/>
  <c r="A1" i="35"/>
  <c r="BH1" i="37"/>
  <c r="B1" i="36"/>
  <c r="B1" i="38"/>
  <c r="B1" i="40"/>
  <c r="C1" i="41"/>
  <c r="B1" i="43"/>
  <c r="B1" i="44"/>
  <c r="B1" i="45"/>
  <c r="G6" i="16"/>
  <c r="G7" i="16"/>
  <c r="G8" i="16"/>
  <c r="G9" i="16"/>
  <c r="G10" i="16"/>
  <c r="G11" i="16"/>
  <c r="D11" i="16"/>
  <c r="D22" i="16"/>
  <c r="D6" i="16"/>
  <c r="D21" i="16"/>
  <c r="I19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D19" i="45"/>
  <c r="I18" i="45"/>
  <c r="D18" i="45"/>
  <c r="M11" i="45"/>
  <c r="N11" i="45"/>
  <c r="G11" i="45"/>
  <c r="M12" i="45"/>
  <c r="N12" i="45"/>
  <c r="G12" i="45"/>
  <c r="M13" i="45"/>
  <c r="N13" i="45"/>
  <c r="G13" i="45"/>
  <c r="M14" i="45"/>
  <c r="N14" i="45"/>
  <c r="G14" i="45"/>
  <c r="M15" i="45"/>
  <c r="N15" i="45"/>
  <c r="G15" i="45"/>
  <c r="M16" i="45"/>
  <c r="N16" i="45"/>
  <c r="G16" i="45"/>
  <c r="M10" i="45"/>
  <c r="N10" i="45"/>
  <c r="G10" i="45"/>
  <c r="M7" i="45"/>
  <c r="N7" i="45"/>
  <c r="G7" i="45"/>
  <c r="M8" i="45"/>
  <c r="N8" i="45"/>
  <c r="G8" i="45"/>
  <c r="M9" i="45"/>
  <c r="N9" i="45"/>
  <c r="G9" i="45"/>
  <c r="M6" i="45"/>
  <c r="N6" i="45"/>
  <c r="G6" i="45"/>
  <c r="J7" i="45"/>
  <c r="E7" i="45"/>
  <c r="J8" i="45"/>
  <c r="E8" i="45"/>
  <c r="J9" i="45"/>
  <c r="E9" i="45"/>
  <c r="J10" i="45"/>
  <c r="E10" i="45"/>
  <c r="J11" i="45"/>
  <c r="E11" i="45"/>
  <c r="J12" i="45"/>
  <c r="E12" i="45"/>
  <c r="J13" i="45"/>
  <c r="E13" i="45"/>
  <c r="J14" i="45"/>
  <c r="E14" i="45"/>
  <c r="J15" i="45"/>
  <c r="E15" i="45"/>
  <c r="J16" i="45"/>
  <c r="E16" i="45"/>
  <c r="J6" i="45"/>
  <c r="E6" i="45"/>
  <c r="I7" i="45"/>
  <c r="D7" i="45"/>
  <c r="I8" i="45"/>
  <c r="D8" i="45"/>
  <c r="I9" i="45"/>
  <c r="D9" i="45"/>
  <c r="I10" i="45"/>
  <c r="D10" i="45"/>
  <c r="I11" i="45"/>
  <c r="D11" i="45"/>
  <c r="I12" i="45"/>
  <c r="D12" i="45"/>
  <c r="I13" i="45"/>
  <c r="D13" i="45"/>
  <c r="I14" i="45"/>
  <c r="D14" i="45"/>
  <c r="I15" i="45"/>
  <c r="D15" i="45"/>
  <c r="I16" i="45"/>
  <c r="D16" i="45"/>
  <c r="I6" i="45"/>
  <c r="D6" i="45"/>
  <c r="M17" i="45"/>
  <c r="N17" i="45"/>
  <c r="M18" i="45"/>
  <c r="N18" i="45"/>
  <c r="M19" i="45"/>
  <c r="N19" i="45"/>
  <c r="M5" i="45"/>
  <c r="N5" i="45"/>
  <c r="F6" i="44"/>
  <c r="F10" i="44"/>
  <c r="F4" i="44"/>
  <c r="F9" i="44"/>
  <c r="G4" i="44"/>
  <c r="G5" i="44"/>
  <c r="G6" i="44"/>
  <c r="G7" i="44"/>
  <c r="G9" i="44"/>
  <c r="G8" i="44"/>
  <c r="G10" i="44"/>
  <c r="D9" i="44"/>
  <c r="D10" i="44"/>
  <c r="D7" i="44"/>
  <c r="F8" i="44"/>
  <c r="D8" i="44"/>
  <c r="D6" i="44"/>
  <c r="D4" i="44"/>
  <c r="F5" i="44"/>
  <c r="D5" i="44"/>
  <c r="G6" i="24"/>
  <c r="G7" i="24"/>
  <c r="G8" i="24"/>
  <c r="G9" i="24"/>
  <c r="G10" i="24"/>
  <c r="G11" i="24"/>
  <c r="D11" i="24"/>
  <c r="D15" i="24"/>
  <c r="D14" i="24"/>
  <c r="D13" i="24"/>
  <c r="G12" i="16"/>
  <c r="G13" i="16"/>
  <c r="G14" i="16"/>
  <c r="G15" i="16"/>
  <c r="G16" i="16"/>
  <c r="G17" i="16"/>
  <c r="G18" i="16"/>
  <c r="D18" i="16"/>
  <c r="H4" i="6"/>
  <c r="D4" i="6"/>
  <c r="F4" i="6"/>
  <c r="H5" i="6"/>
  <c r="D5" i="6"/>
  <c r="F5" i="6"/>
  <c r="H6" i="6"/>
  <c r="D6" i="6"/>
  <c r="F6" i="6"/>
  <c r="H7" i="6"/>
  <c r="D7" i="6"/>
  <c r="F7" i="6"/>
  <c r="H8" i="6"/>
  <c r="D8" i="6"/>
  <c r="F8" i="6"/>
  <c r="H9" i="6"/>
  <c r="D9" i="6"/>
  <c r="F9" i="6"/>
  <c r="H10" i="6"/>
  <c r="D10" i="6"/>
  <c r="F10" i="6"/>
  <c r="H11" i="6"/>
  <c r="D11" i="6"/>
  <c r="F11" i="6"/>
  <c r="H12" i="6"/>
  <c r="D12" i="6"/>
  <c r="F12" i="6"/>
  <c r="H13" i="6"/>
  <c r="D13" i="6"/>
  <c r="F13" i="6"/>
  <c r="H14" i="6"/>
  <c r="D14" i="6"/>
  <c r="F14" i="6"/>
  <c r="H15" i="6"/>
  <c r="D15" i="6"/>
  <c r="F15" i="6"/>
  <c r="H16" i="6"/>
  <c r="D16" i="6"/>
  <c r="F16" i="6"/>
  <c r="H18" i="6"/>
  <c r="D18" i="6"/>
  <c r="F18" i="6"/>
  <c r="F19" i="6"/>
  <c r="M10" i="19"/>
  <c r="M11" i="19"/>
  <c r="M12" i="19"/>
  <c r="M13" i="19"/>
  <c r="M14" i="19"/>
  <c r="M15" i="19"/>
  <c r="D15" i="19"/>
  <c r="F14" i="12"/>
  <c r="D5" i="12"/>
  <c r="F5" i="12"/>
  <c r="D6" i="12"/>
  <c r="F6" i="12"/>
  <c r="D7" i="12"/>
  <c r="F7" i="12"/>
  <c r="D8" i="12"/>
  <c r="F8" i="12"/>
  <c r="D9" i="12"/>
  <c r="F9" i="12"/>
  <c r="D10" i="12"/>
  <c r="F10" i="12"/>
  <c r="D11" i="12"/>
  <c r="F11" i="12"/>
  <c r="D12" i="12"/>
  <c r="F12" i="12"/>
  <c r="D13" i="12"/>
  <c r="F13" i="12"/>
  <c r="F15" i="12"/>
  <c r="F16" i="12"/>
  <c r="F17" i="12"/>
  <c r="F18" i="12"/>
  <c r="F19" i="12"/>
  <c r="F20" i="12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N6" i="9"/>
  <c r="N7" i="9"/>
  <c r="N8" i="9"/>
  <c r="N9" i="9"/>
  <c r="N10" i="9"/>
  <c r="G10" i="9"/>
  <c r="G9" i="9"/>
  <c r="G7" i="9"/>
  <c r="G6" i="9"/>
  <c r="D4" i="7"/>
  <c r="F4" i="7"/>
  <c r="D5" i="7"/>
  <c r="F5" i="7"/>
  <c r="D6" i="7"/>
  <c r="F6" i="7"/>
  <c r="D7" i="7"/>
  <c r="F7" i="7"/>
  <c r="D8" i="7"/>
  <c r="F8" i="7"/>
  <c r="D9" i="7"/>
  <c r="F9" i="7"/>
  <c r="D10" i="7"/>
  <c r="F10" i="7"/>
  <c r="D11" i="7"/>
  <c r="F11" i="7"/>
  <c r="F12" i="7"/>
  <c r="F13" i="7"/>
  <c r="D5" i="5"/>
  <c r="D7" i="5"/>
  <c r="D6" i="5"/>
  <c r="D9" i="5"/>
  <c r="D10" i="5"/>
  <c r="D11" i="5"/>
  <c r="D12" i="5"/>
  <c r="D13" i="5"/>
  <c r="D14" i="5"/>
  <c r="D15" i="5"/>
  <c r="D16" i="5"/>
  <c r="G20" i="5"/>
  <c r="D20" i="5"/>
  <c r="G21" i="5"/>
  <c r="G22" i="5"/>
  <c r="G23" i="5"/>
  <c r="D48" i="36"/>
  <c r="D45" i="36"/>
  <c r="G4" i="36"/>
  <c r="G5" i="36"/>
  <c r="G6" i="36"/>
  <c r="G7" i="36"/>
  <c r="G8" i="36"/>
  <c r="G9" i="36"/>
  <c r="G10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D39" i="36"/>
  <c r="D37" i="36"/>
  <c r="D36" i="36"/>
  <c r="D34" i="36"/>
  <c r="D33" i="36"/>
  <c r="D27" i="36"/>
  <c r="D28" i="36"/>
  <c r="D29" i="36"/>
  <c r="D30" i="36"/>
  <c r="D31" i="36"/>
  <c r="D26" i="36"/>
  <c r="D21" i="36"/>
  <c r="D20" i="36"/>
  <c r="D19" i="36"/>
  <c r="D17" i="36"/>
  <c r="D16" i="36"/>
  <c r="D14" i="36"/>
  <c r="D13" i="36"/>
  <c r="D9" i="36"/>
  <c r="D8" i="36"/>
  <c r="U3" i="40"/>
  <c r="U4" i="40"/>
  <c r="U5" i="40"/>
  <c r="U6" i="40"/>
  <c r="U7" i="40"/>
  <c r="V7" i="40"/>
  <c r="W7" i="40"/>
  <c r="X7" i="40"/>
  <c r="G7" i="40"/>
  <c r="D7" i="36"/>
  <c r="F7" i="40"/>
  <c r="D6" i="36"/>
  <c r="E7" i="40"/>
  <c r="D5" i="36"/>
  <c r="D7" i="40"/>
  <c r="D4" i="36"/>
  <c r="D42" i="28"/>
  <c r="D41" i="28"/>
  <c r="D40" i="28"/>
  <c r="D39" i="28"/>
  <c r="D37" i="28"/>
  <c r="D30" i="28"/>
  <c r="D29" i="28"/>
  <c r="D24" i="28"/>
  <c r="D25" i="28"/>
  <c r="D26" i="28"/>
  <c r="D28" i="28"/>
  <c r="D31" i="28"/>
  <c r="D32" i="28"/>
  <c r="D34" i="28"/>
  <c r="D35" i="28"/>
  <c r="D38" i="28"/>
  <c r="D21" i="28"/>
  <c r="D34" i="16"/>
  <c r="D35" i="16"/>
  <c r="B34" i="16"/>
  <c r="E33" i="16"/>
  <c r="E34" i="16"/>
  <c r="D33" i="16"/>
  <c r="D8" i="16"/>
  <c r="D13" i="16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D40" i="43"/>
  <c r="AE41" i="43"/>
  <c r="D41" i="43"/>
  <c r="D36" i="43"/>
  <c r="AF36" i="43"/>
  <c r="AG36" i="43"/>
  <c r="F36" i="43"/>
  <c r="D37" i="43"/>
  <c r="AF37" i="43"/>
  <c r="AG37" i="43"/>
  <c r="F37" i="43"/>
  <c r="D38" i="43"/>
  <c r="AF38" i="43"/>
  <c r="AG38" i="43"/>
  <c r="F38" i="43"/>
  <c r="AF35" i="43"/>
  <c r="AG35" i="43"/>
  <c r="F35" i="43"/>
  <c r="D35" i="43"/>
  <c r="D32" i="43"/>
  <c r="AF32" i="43"/>
  <c r="AG32" i="43"/>
  <c r="F32" i="43"/>
  <c r="D33" i="43"/>
  <c r="AF33" i="43"/>
  <c r="AG33" i="43"/>
  <c r="F33" i="43"/>
  <c r="AF31" i="43"/>
  <c r="AG31" i="43"/>
  <c r="F31" i="43"/>
  <c r="D31" i="43"/>
  <c r="D29" i="43"/>
  <c r="AF29" i="43"/>
  <c r="AG29" i="43"/>
  <c r="F29" i="43"/>
  <c r="AF28" i="43"/>
  <c r="AG28" i="43"/>
  <c r="F28" i="43"/>
  <c r="D28" i="43"/>
  <c r="D25" i="43"/>
  <c r="AF25" i="43"/>
  <c r="AG25" i="43"/>
  <c r="F25" i="43"/>
  <c r="D26" i="43"/>
  <c r="AF26" i="43"/>
  <c r="AG26" i="43"/>
  <c r="F26" i="43"/>
  <c r="AF24" i="43"/>
  <c r="AG24" i="43"/>
  <c r="F24" i="43"/>
  <c r="D24" i="43"/>
  <c r="D21" i="43"/>
  <c r="AF21" i="43"/>
  <c r="AG21" i="43"/>
  <c r="F21" i="43"/>
  <c r="D22" i="43"/>
  <c r="AF22" i="43"/>
  <c r="AG22" i="43"/>
  <c r="F22" i="43"/>
  <c r="AF20" i="43"/>
  <c r="AG20" i="43"/>
  <c r="F20" i="43"/>
  <c r="D20" i="43"/>
  <c r="D10" i="43"/>
  <c r="AF10" i="43"/>
  <c r="E10" i="43"/>
  <c r="AG10" i="43"/>
  <c r="F10" i="43"/>
  <c r="AH10" i="43"/>
  <c r="G10" i="43"/>
  <c r="D11" i="43"/>
  <c r="AF11" i="43"/>
  <c r="E11" i="43"/>
  <c r="AG11" i="43"/>
  <c r="F11" i="43"/>
  <c r="AH11" i="43"/>
  <c r="G11" i="43"/>
  <c r="D12" i="43"/>
  <c r="AF12" i="43"/>
  <c r="E12" i="43"/>
  <c r="AG12" i="43"/>
  <c r="F12" i="43"/>
  <c r="AH12" i="43"/>
  <c r="G12" i="43"/>
  <c r="D13" i="43"/>
  <c r="AF13" i="43"/>
  <c r="E13" i="43"/>
  <c r="AG13" i="43"/>
  <c r="F13" i="43"/>
  <c r="AH13" i="43"/>
  <c r="G13" i="43"/>
  <c r="D14" i="43"/>
  <c r="AF14" i="43"/>
  <c r="E14" i="43"/>
  <c r="AG14" i="43"/>
  <c r="F14" i="43"/>
  <c r="AH14" i="43"/>
  <c r="G14" i="43"/>
  <c r="D15" i="43"/>
  <c r="AF15" i="43"/>
  <c r="E15" i="43"/>
  <c r="AG15" i="43"/>
  <c r="F15" i="43"/>
  <c r="AH15" i="43"/>
  <c r="G15" i="43"/>
  <c r="D16" i="43"/>
  <c r="AF16" i="43"/>
  <c r="E16" i="43"/>
  <c r="AG16" i="43"/>
  <c r="F16" i="43"/>
  <c r="AH16" i="43"/>
  <c r="G16" i="43"/>
  <c r="AF9" i="43"/>
  <c r="E9" i="43"/>
  <c r="AG9" i="43"/>
  <c r="F9" i="43"/>
  <c r="AH9" i="43"/>
  <c r="G9" i="43"/>
  <c r="D9" i="43"/>
  <c r="D7" i="43"/>
  <c r="AF7" i="43"/>
  <c r="E7" i="43"/>
  <c r="AG7" i="43"/>
  <c r="F7" i="43"/>
  <c r="AH7" i="43"/>
  <c r="G7" i="43"/>
  <c r="AF8" i="43"/>
  <c r="AG8" i="43"/>
  <c r="AH8" i="43"/>
  <c r="AF17" i="43"/>
  <c r="AG17" i="43"/>
  <c r="AH17" i="43"/>
  <c r="AF18" i="43"/>
  <c r="AG18" i="43"/>
  <c r="AH18" i="43"/>
  <c r="AF19" i="43"/>
  <c r="AG19" i="43"/>
  <c r="AH19" i="43"/>
  <c r="AH20" i="43"/>
  <c r="AH21" i="43"/>
  <c r="AH22" i="43"/>
  <c r="AF23" i="43"/>
  <c r="AG23" i="43"/>
  <c r="AH23" i="43"/>
  <c r="AH24" i="43"/>
  <c r="AH25" i="43"/>
  <c r="AH26" i="43"/>
  <c r="AF27" i="43"/>
  <c r="AG27" i="43"/>
  <c r="AH27" i="43"/>
  <c r="AH28" i="43"/>
  <c r="AH29" i="43"/>
  <c r="AF30" i="43"/>
  <c r="AG30" i="43"/>
  <c r="AH30" i="43"/>
  <c r="AH31" i="43"/>
  <c r="AH32" i="43"/>
  <c r="AH33" i="43"/>
  <c r="AF34" i="43"/>
  <c r="AG34" i="43"/>
  <c r="AH34" i="43"/>
  <c r="AH35" i="43"/>
  <c r="AH36" i="43"/>
  <c r="AH37" i="43"/>
  <c r="AH38" i="43"/>
  <c r="AF39" i="43"/>
  <c r="AG39" i="43"/>
  <c r="AH39" i="43"/>
  <c r="AF40" i="43"/>
  <c r="AG40" i="43"/>
  <c r="AH40" i="43"/>
  <c r="AF41" i="43"/>
  <c r="AG41" i="43"/>
  <c r="AH41" i="43"/>
  <c r="U4" i="43"/>
  <c r="U5" i="43"/>
  <c r="U6" i="43"/>
  <c r="I4" i="15"/>
  <c r="I5" i="15"/>
  <c r="H15" i="15"/>
  <c r="I37" i="41"/>
  <c r="I38" i="41"/>
  <c r="I39" i="41"/>
  <c r="X22" i="41"/>
  <c r="X23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E38" i="41"/>
  <c r="X39" i="41"/>
  <c r="E39" i="41"/>
  <c r="E37" i="41"/>
  <c r="I33" i="41"/>
  <c r="I34" i="41"/>
  <c r="I35" i="41"/>
  <c r="E34" i="41"/>
  <c r="E35" i="41"/>
  <c r="E33" i="41"/>
  <c r="E25" i="41"/>
  <c r="E26" i="41"/>
  <c r="E27" i="41"/>
  <c r="E28" i="41"/>
  <c r="E29" i="41"/>
  <c r="E24" i="41"/>
  <c r="Y34" i="41"/>
  <c r="Y35" i="41"/>
  <c r="Y36" i="41"/>
  <c r="Y37" i="41"/>
  <c r="Y38" i="41"/>
  <c r="Y39" i="41"/>
  <c r="Y33" i="41"/>
  <c r="I5" i="31"/>
  <c r="I16" i="31"/>
  <c r="I27" i="31"/>
  <c r="D27" i="31"/>
  <c r="D32" i="31"/>
  <c r="E10" i="31"/>
  <c r="E9" i="31"/>
  <c r="E12" i="31"/>
  <c r="E11" i="31"/>
  <c r="D13" i="31"/>
  <c r="D5" i="31"/>
  <c r="D14" i="31"/>
  <c r="E21" i="31"/>
  <c r="E20" i="31"/>
  <c r="E23" i="31"/>
  <c r="E22" i="31"/>
  <c r="D24" i="31"/>
  <c r="D16" i="31"/>
  <c r="D25" i="31"/>
  <c r="G32" i="31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F20" i="18"/>
  <c r="E20" i="18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D21" i="17"/>
  <c r="U8" i="40"/>
  <c r="U9" i="40"/>
  <c r="U10" i="40"/>
  <c r="U11" i="40"/>
  <c r="U12" i="40"/>
  <c r="D12" i="40"/>
  <c r="V8" i="40"/>
  <c r="E8" i="40"/>
  <c r="W8" i="40"/>
  <c r="F8" i="40"/>
  <c r="X8" i="40"/>
  <c r="G8" i="40"/>
  <c r="V9" i="40"/>
  <c r="E9" i="40"/>
  <c r="W9" i="40"/>
  <c r="F9" i="40"/>
  <c r="X9" i="40"/>
  <c r="G9" i="40"/>
  <c r="V10" i="40"/>
  <c r="E10" i="40"/>
  <c r="W10" i="40"/>
  <c r="F10" i="40"/>
  <c r="X10" i="40"/>
  <c r="G10" i="40"/>
  <c r="V11" i="40"/>
  <c r="E11" i="40"/>
  <c r="W11" i="40"/>
  <c r="F11" i="40"/>
  <c r="X11" i="40"/>
  <c r="G11" i="40"/>
  <c r="D8" i="40"/>
  <c r="D9" i="40"/>
  <c r="D10" i="40"/>
  <c r="D11" i="40"/>
  <c r="U13" i="40"/>
  <c r="U14" i="40"/>
  <c r="U15" i="40"/>
  <c r="U16" i="40"/>
  <c r="U17" i="40"/>
  <c r="U18" i="40"/>
  <c r="U19" i="40"/>
  <c r="U20" i="40"/>
  <c r="U21" i="40"/>
  <c r="U22" i="40"/>
  <c r="D13" i="28"/>
  <c r="D16" i="40"/>
  <c r="D14" i="28"/>
  <c r="D17" i="40"/>
  <c r="D15" i="28"/>
  <c r="D18" i="40"/>
  <c r="D16" i="28"/>
  <c r="D19" i="40"/>
  <c r="D17" i="28"/>
  <c r="D20" i="40"/>
  <c r="D18" i="28"/>
  <c r="D21" i="40"/>
  <c r="D12" i="28"/>
  <c r="D15" i="40"/>
  <c r="D12" i="19"/>
  <c r="D13" i="40"/>
  <c r="P7" i="40"/>
  <c r="P8" i="40"/>
  <c r="P9" i="40"/>
  <c r="P10" i="40"/>
  <c r="P11" i="40"/>
  <c r="P12" i="40"/>
  <c r="P13" i="40"/>
  <c r="P15" i="40"/>
  <c r="P16" i="40"/>
  <c r="P17" i="40"/>
  <c r="P18" i="40"/>
  <c r="P19" i="40"/>
  <c r="P20" i="40"/>
  <c r="P21" i="40"/>
  <c r="P22" i="40"/>
  <c r="H22" i="6"/>
  <c r="D22" i="6"/>
  <c r="I4" i="10"/>
  <c r="I5" i="10"/>
  <c r="I6" i="10"/>
  <c r="I7" i="10"/>
  <c r="I8" i="10"/>
  <c r="I9" i="10"/>
  <c r="I10" i="10"/>
  <c r="D10" i="10"/>
  <c r="I11" i="10"/>
  <c r="I12" i="10"/>
  <c r="I13" i="10"/>
  <c r="I14" i="10"/>
  <c r="I15" i="10"/>
  <c r="I16" i="10"/>
  <c r="I17" i="10"/>
  <c r="D17" i="10"/>
  <c r="P6" i="38"/>
  <c r="P7" i="38"/>
  <c r="P8" i="38"/>
  <c r="P9" i="38"/>
  <c r="P10" i="38"/>
  <c r="P11" i="38"/>
  <c r="P12" i="38"/>
  <c r="P13" i="38"/>
  <c r="P14" i="38"/>
  <c r="P15" i="38"/>
  <c r="P16" i="38"/>
  <c r="P17" i="38"/>
  <c r="P18" i="38"/>
  <c r="P19" i="38"/>
  <c r="P20" i="38"/>
  <c r="P21" i="38"/>
  <c r="D21" i="38"/>
  <c r="P22" i="38"/>
  <c r="D22" i="38"/>
  <c r="P23" i="38"/>
  <c r="D23" i="38"/>
  <c r="D20" i="38"/>
  <c r="G16" i="38"/>
  <c r="G17" i="38"/>
  <c r="G18" i="38"/>
  <c r="G15" i="38"/>
  <c r="F16" i="38"/>
  <c r="F17" i="38"/>
  <c r="F18" i="38"/>
  <c r="F15" i="38"/>
  <c r="E16" i="38"/>
  <c r="E17" i="38"/>
  <c r="E18" i="38"/>
  <c r="E15" i="38"/>
  <c r="D16" i="38"/>
  <c r="D17" i="38"/>
  <c r="D18" i="38"/>
  <c r="D15" i="38"/>
  <c r="G14" i="38"/>
  <c r="G13" i="38"/>
  <c r="F14" i="38"/>
  <c r="F13" i="38"/>
  <c r="E14" i="38"/>
  <c r="E13" i="38"/>
  <c r="D14" i="38"/>
  <c r="D13" i="38"/>
  <c r="G7" i="38"/>
  <c r="G8" i="38"/>
  <c r="G9" i="38"/>
  <c r="G10" i="38"/>
  <c r="G11" i="38"/>
  <c r="G6" i="38"/>
  <c r="F7" i="38"/>
  <c r="F8" i="38"/>
  <c r="F9" i="38"/>
  <c r="F10" i="38"/>
  <c r="F11" i="38"/>
  <c r="F6" i="38"/>
  <c r="E7" i="38"/>
  <c r="E8" i="38"/>
  <c r="E9" i="38"/>
  <c r="E10" i="38"/>
  <c r="E11" i="38"/>
  <c r="E6" i="38"/>
  <c r="D7" i="38"/>
  <c r="D8" i="38"/>
  <c r="D9" i="38"/>
  <c r="D10" i="38"/>
  <c r="D11" i="38"/>
  <c r="D6" i="38"/>
  <c r="BZ14" i="37"/>
  <c r="BZ15" i="37"/>
  <c r="BN15" i="37"/>
  <c r="BZ16" i="37"/>
  <c r="BN16" i="37"/>
  <c r="BN14" i="37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D24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M16" i="34"/>
  <c r="M17" i="34"/>
  <c r="D17" i="34"/>
  <c r="M18" i="34"/>
  <c r="D18" i="34"/>
  <c r="D16" i="34"/>
  <c r="M7" i="33"/>
  <c r="M8" i="33"/>
  <c r="M9" i="33"/>
  <c r="M10" i="33"/>
  <c r="M11" i="33"/>
  <c r="M12" i="33"/>
  <c r="M13" i="33"/>
  <c r="M14" i="33"/>
  <c r="M15" i="33"/>
  <c r="G15" i="33"/>
  <c r="M16" i="33"/>
  <c r="G16" i="33"/>
  <c r="M17" i="33"/>
  <c r="G17" i="33"/>
  <c r="M18" i="33"/>
  <c r="G18" i="33"/>
  <c r="M19" i="33"/>
  <c r="G19" i="33"/>
  <c r="M20" i="33"/>
  <c r="G20" i="33"/>
  <c r="G14" i="33"/>
  <c r="F15" i="33"/>
  <c r="F16" i="33"/>
  <c r="F17" i="33"/>
  <c r="F18" i="33"/>
  <c r="F19" i="33"/>
  <c r="F20" i="33"/>
  <c r="F14" i="33"/>
  <c r="E15" i="33"/>
  <c r="E16" i="33"/>
  <c r="E17" i="33"/>
  <c r="E18" i="33"/>
  <c r="E19" i="33"/>
  <c r="E20" i="33"/>
  <c r="E14" i="33"/>
  <c r="D15" i="33"/>
  <c r="D16" i="33"/>
  <c r="D17" i="33"/>
  <c r="D18" i="33"/>
  <c r="D19" i="33"/>
  <c r="D20" i="33"/>
  <c r="D14" i="33"/>
  <c r="G12" i="33"/>
  <c r="F12" i="33"/>
  <c r="E12" i="33"/>
  <c r="D12" i="33"/>
  <c r="G8" i="33"/>
  <c r="G9" i="33"/>
  <c r="G10" i="33"/>
  <c r="G7" i="33"/>
  <c r="F8" i="33"/>
  <c r="F9" i="33"/>
  <c r="F10" i="33"/>
  <c r="F7" i="33"/>
  <c r="E8" i="33"/>
  <c r="E9" i="33"/>
  <c r="E10" i="33"/>
  <c r="E7" i="33"/>
  <c r="D8" i="33"/>
  <c r="D9" i="33"/>
  <c r="D10" i="33"/>
  <c r="D7" i="33"/>
  <c r="M7" i="32"/>
  <c r="M8" i="32"/>
  <c r="M9" i="32"/>
  <c r="M10" i="32"/>
  <c r="M11" i="32"/>
  <c r="M12" i="32"/>
  <c r="M13" i="32"/>
  <c r="G13" i="32"/>
  <c r="F13" i="32"/>
  <c r="E13" i="32"/>
  <c r="D13" i="32"/>
  <c r="G10" i="32"/>
  <c r="G11" i="32"/>
  <c r="G12" i="32"/>
  <c r="G9" i="32"/>
  <c r="F10" i="32"/>
  <c r="F11" i="32"/>
  <c r="F12" i="32"/>
  <c r="F9" i="32"/>
  <c r="E10" i="32"/>
  <c r="E11" i="32"/>
  <c r="E12" i="32"/>
  <c r="E9" i="32"/>
  <c r="D10" i="32"/>
  <c r="D11" i="32"/>
  <c r="D12" i="32"/>
  <c r="D9" i="32"/>
  <c r="G7" i="32"/>
  <c r="F7" i="32"/>
  <c r="E7" i="32"/>
  <c r="D7" i="32"/>
  <c r="D20" i="28"/>
  <c r="D8" i="28"/>
  <c r="D9" i="28"/>
  <c r="D10" i="28"/>
  <c r="D7" i="28"/>
  <c r="G7" i="27"/>
  <c r="G8" i="27"/>
  <c r="G9" i="27"/>
  <c r="G10" i="27"/>
  <c r="G11" i="27"/>
  <c r="G12" i="27"/>
  <c r="G13" i="27"/>
  <c r="G14" i="27"/>
  <c r="G15" i="27"/>
  <c r="D15" i="27"/>
  <c r="D14" i="27"/>
  <c r="D13" i="27"/>
  <c r="D8" i="27"/>
  <c r="D9" i="27"/>
  <c r="D10" i="27"/>
  <c r="D11" i="27"/>
  <c r="D7" i="27"/>
  <c r="K6" i="26"/>
  <c r="K7" i="26"/>
  <c r="K8" i="26"/>
  <c r="K9" i="26"/>
  <c r="K10" i="26"/>
  <c r="K11" i="26"/>
  <c r="K12" i="26"/>
  <c r="K13" i="26"/>
  <c r="K14" i="26"/>
  <c r="K15" i="26"/>
  <c r="K16" i="26"/>
  <c r="D16" i="26"/>
  <c r="D15" i="26"/>
  <c r="D14" i="26"/>
  <c r="F7" i="26"/>
  <c r="F6" i="26"/>
  <c r="E7" i="26"/>
  <c r="E6" i="26"/>
  <c r="D7" i="26"/>
  <c r="D6" i="26"/>
  <c r="M6" i="25"/>
  <c r="M7" i="25"/>
  <c r="M8" i="25"/>
  <c r="D8" i="25"/>
  <c r="G7" i="25"/>
  <c r="G6" i="25"/>
  <c r="F7" i="25"/>
  <c r="F6" i="25"/>
  <c r="E7" i="25"/>
  <c r="E6" i="25"/>
  <c r="D7" i="25"/>
  <c r="D6" i="25"/>
  <c r="D7" i="24"/>
  <c r="D8" i="24"/>
  <c r="D9" i="24"/>
  <c r="D10" i="24"/>
  <c r="D6" i="24"/>
  <c r="G10" i="22"/>
  <c r="F10" i="22"/>
  <c r="E10" i="22"/>
  <c r="D10" i="22"/>
  <c r="G6" i="22"/>
  <c r="G5" i="22"/>
  <c r="F6" i="22"/>
  <c r="F5" i="22"/>
  <c r="E6" i="22"/>
  <c r="E5" i="22"/>
  <c r="D6" i="22"/>
  <c r="D5" i="22"/>
  <c r="G7" i="21"/>
  <c r="G8" i="21"/>
  <c r="G9" i="21"/>
  <c r="G10" i="21"/>
  <c r="G11" i="21"/>
  <c r="G12" i="21"/>
  <c r="G13" i="21"/>
  <c r="G6" i="21"/>
  <c r="F7" i="21"/>
  <c r="F8" i="21"/>
  <c r="F9" i="21"/>
  <c r="F10" i="21"/>
  <c r="F11" i="21"/>
  <c r="F12" i="21"/>
  <c r="F13" i="21"/>
  <c r="F6" i="21"/>
  <c r="E7" i="21"/>
  <c r="E8" i="21"/>
  <c r="E9" i="21"/>
  <c r="E10" i="21"/>
  <c r="E11" i="21"/>
  <c r="E12" i="21"/>
  <c r="E13" i="21"/>
  <c r="E6" i="21"/>
  <c r="D8" i="21"/>
  <c r="D9" i="21"/>
  <c r="D13" i="19"/>
  <c r="D10" i="19"/>
  <c r="D7" i="19"/>
  <c r="E7" i="19"/>
  <c r="G7" i="19"/>
  <c r="M21" i="18"/>
  <c r="M22" i="18"/>
  <c r="M23" i="18"/>
  <c r="M24" i="18"/>
  <c r="M25" i="18"/>
  <c r="G25" i="18"/>
  <c r="G24" i="18"/>
  <c r="F25" i="18"/>
  <c r="F24" i="18"/>
  <c r="E25" i="18"/>
  <c r="E24" i="18"/>
  <c r="D25" i="18"/>
  <c r="D24" i="18"/>
  <c r="G22" i="18"/>
  <c r="F22" i="18"/>
  <c r="E22" i="18"/>
  <c r="D22" i="18"/>
  <c r="G17" i="18"/>
  <c r="G18" i="18"/>
  <c r="G19" i="18"/>
  <c r="G20" i="18"/>
  <c r="G16" i="18"/>
  <c r="F17" i="18"/>
  <c r="F18" i="18"/>
  <c r="F19" i="18"/>
  <c r="F16" i="18"/>
  <c r="E17" i="18"/>
  <c r="E18" i="18"/>
  <c r="E19" i="18"/>
  <c r="E16" i="18"/>
  <c r="D17" i="18"/>
  <c r="D18" i="18"/>
  <c r="D19" i="18"/>
  <c r="D20" i="18"/>
  <c r="I16" i="18"/>
  <c r="D16" i="18"/>
  <c r="G11" i="18"/>
  <c r="G12" i="18"/>
  <c r="G13" i="18"/>
  <c r="G14" i="18"/>
  <c r="G10" i="18"/>
  <c r="F11" i="18"/>
  <c r="F12" i="18"/>
  <c r="F13" i="18"/>
  <c r="F14" i="18"/>
  <c r="F10" i="18"/>
  <c r="E11" i="18"/>
  <c r="E12" i="18"/>
  <c r="E13" i="18"/>
  <c r="E14" i="18"/>
  <c r="E10" i="18"/>
  <c r="D11" i="18"/>
  <c r="D12" i="18"/>
  <c r="D13" i="18"/>
  <c r="D14" i="18"/>
  <c r="D10" i="18"/>
  <c r="G7" i="18"/>
  <c r="G8" i="18"/>
  <c r="G6" i="18"/>
  <c r="F7" i="18"/>
  <c r="F8" i="18"/>
  <c r="F6" i="18"/>
  <c r="E7" i="18"/>
  <c r="E8" i="18"/>
  <c r="E6" i="18"/>
  <c r="D7" i="18"/>
  <c r="D8" i="18"/>
  <c r="D6" i="18"/>
  <c r="M22" i="17"/>
  <c r="M23" i="17"/>
  <c r="D23" i="17"/>
  <c r="D22" i="17"/>
  <c r="D17" i="17"/>
  <c r="D18" i="17"/>
  <c r="D19" i="17"/>
  <c r="D20" i="17"/>
  <c r="D16" i="17"/>
  <c r="G8" i="17"/>
  <c r="L9" i="17"/>
  <c r="G9" i="17"/>
  <c r="G10" i="17"/>
  <c r="G11" i="17"/>
  <c r="G12" i="17"/>
  <c r="G13" i="17"/>
  <c r="G14" i="17"/>
  <c r="G7" i="17"/>
  <c r="F8" i="17"/>
  <c r="F9" i="17"/>
  <c r="F10" i="17"/>
  <c r="F11" i="17"/>
  <c r="F12" i="17"/>
  <c r="F13" i="17"/>
  <c r="F14" i="17"/>
  <c r="F7" i="17"/>
  <c r="E8" i="17"/>
  <c r="E9" i="17"/>
  <c r="E10" i="17"/>
  <c r="E11" i="17"/>
  <c r="E12" i="17"/>
  <c r="E13" i="17"/>
  <c r="J14" i="17"/>
  <c r="E14" i="17"/>
  <c r="E7" i="17"/>
  <c r="D8" i="17"/>
  <c r="D9" i="17"/>
  <c r="D10" i="17"/>
  <c r="D11" i="17"/>
  <c r="D12" i="17"/>
  <c r="D13" i="17"/>
  <c r="D14" i="17"/>
  <c r="D7" i="17"/>
  <c r="I6" i="15"/>
  <c r="I7" i="15"/>
  <c r="I8" i="15"/>
  <c r="I9" i="15"/>
  <c r="I10" i="15"/>
  <c r="I11" i="15"/>
  <c r="I12" i="15"/>
  <c r="I13" i="15"/>
  <c r="I14" i="15"/>
  <c r="I15" i="15"/>
  <c r="D15" i="15"/>
  <c r="D11" i="15"/>
  <c r="D12" i="15"/>
  <c r="D13" i="15"/>
  <c r="D10" i="15"/>
  <c r="D5" i="15"/>
  <c r="D6" i="15"/>
  <c r="D7" i="15"/>
  <c r="D8" i="15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D18" i="14"/>
  <c r="I19" i="14"/>
  <c r="D19" i="14"/>
  <c r="I20" i="14"/>
  <c r="D20" i="14"/>
  <c r="I21" i="14"/>
  <c r="D21" i="14"/>
  <c r="I22" i="14"/>
  <c r="D22" i="14"/>
  <c r="I23" i="14"/>
  <c r="D23" i="14"/>
  <c r="I24" i="14"/>
  <c r="D24" i="14"/>
  <c r="I25" i="14"/>
  <c r="D25" i="14"/>
  <c r="I26" i="14"/>
  <c r="D26" i="14"/>
  <c r="I27" i="14"/>
  <c r="D27" i="14"/>
  <c r="D17" i="14"/>
  <c r="D6" i="14"/>
  <c r="D7" i="14"/>
  <c r="D8" i="14"/>
  <c r="D9" i="14"/>
  <c r="D10" i="14"/>
  <c r="D11" i="14"/>
  <c r="D12" i="14"/>
  <c r="D13" i="14"/>
  <c r="D14" i="14"/>
  <c r="D15" i="14"/>
  <c r="D5" i="14"/>
  <c r="I4" i="13"/>
  <c r="I5" i="13"/>
  <c r="D5" i="13"/>
  <c r="I6" i="13"/>
  <c r="D6" i="13"/>
  <c r="I7" i="13"/>
  <c r="D7" i="13"/>
  <c r="I8" i="13"/>
  <c r="D8" i="13"/>
  <c r="I9" i="13"/>
  <c r="D9" i="13"/>
  <c r="D4" i="13"/>
  <c r="D4" i="12"/>
  <c r="D5" i="10"/>
  <c r="D6" i="10"/>
  <c r="D7" i="10"/>
  <c r="D8" i="10"/>
  <c r="D9" i="10"/>
  <c r="D11" i="10"/>
  <c r="D12" i="10"/>
  <c r="D13" i="10"/>
  <c r="D14" i="10"/>
  <c r="D15" i="10"/>
  <c r="D16" i="10"/>
  <c r="D4" i="10"/>
  <c r="N11" i="9"/>
  <c r="N12" i="9"/>
  <c r="N13" i="9"/>
  <c r="N14" i="9"/>
  <c r="N15" i="9"/>
  <c r="N16" i="9"/>
  <c r="N17" i="9"/>
  <c r="N18" i="9"/>
  <c r="D18" i="9"/>
  <c r="D17" i="9"/>
  <c r="D12" i="9"/>
  <c r="D11" i="9"/>
  <c r="F10" i="9"/>
  <c r="F9" i="9"/>
  <c r="E10" i="9"/>
  <c r="E9" i="9"/>
  <c r="D10" i="9"/>
  <c r="D9" i="9"/>
  <c r="F7" i="9"/>
  <c r="F6" i="9"/>
  <c r="E7" i="9"/>
  <c r="E6" i="9"/>
  <c r="D7" i="9"/>
  <c r="D6" i="9"/>
  <c r="K5" i="8"/>
  <c r="K6" i="8"/>
  <c r="K7" i="8"/>
  <c r="K8" i="8"/>
  <c r="K9" i="8"/>
  <c r="D9" i="8"/>
  <c r="D8" i="8"/>
  <c r="F6" i="8"/>
  <c r="F7" i="8"/>
  <c r="F5" i="8"/>
  <c r="E6" i="8"/>
  <c r="E7" i="8"/>
  <c r="E5" i="8"/>
  <c r="D6" i="8"/>
  <c r="D7" i="8"/>
  <c r="D5" i="8"/>
  <c r="I6" i="4"/>
  <c r="D6" i="4"/>
  <c r="I7" i="4"/>
  <c r="D7" i="4"/>
  <c r="I8" i="4"/>
  <c r="D8" i="4"/>
  <c r="I9" i="4"/>
  <c r="D9" i="4"/>
  <c r="I10" i="4"/>
  <c r="D10" i="4"/>
  <c r="I11" i="4"/>
  <c r="D11" i="4"/>
  <c r="I12" i="4"/>
  <c r="D12" i="4"/>
  <c r="I13" i="4"/>
  <c r="D13" i="4"/>
  <c r="I14" i="4"/>
  <c r="D14" i="4"/>
  <c r="D4" i="4"/>
  <c r="D16" i="16"/>
  <c r="D7" i="16"/>
  <c r="B33" i="16"/>
  <c r="C31" i="16"/>
  <c r="D12" i="16"/>
  <c r="BH9" i="37"/>
  <c r="K25" i="35"/>
  <c r="K29" i="35"/>
  <c r="K30" i="35"/>
  <c r="K31" i="35"/>
  <c r="K32" i="35"/>
  <c r="K34" i="35"/>
  <c r="D37" i="35"/>
  <c r="A37" i="35"/>
  <c r="B37" i="35"/>
  <c r="C37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5" i="35"/>
  <c r="E5" i="35"/>
  <c r="D5" i="35"/>
  <c r="M19" i="34"/>
  <c r="M20" i="34"/>
  <c r="G20" i="34"/>
  <c r="G19" i="34"/>
  <c r="F20" i="34"/>
  <c r="F19" i="34"/>
  <c r="E20" i="34"/>
  <c r="E19" i="34"/>
  <c r="D20" i="34"/>
  <c r="D19" i="34"/>
  <c r="D17" i="16"/>
  <c r="I4" i="11"/>
  <c r="C4" i="39"/>
  <c r="C5" i="39"/>
  <c r="C6" i="39"/>
  <c r="C7" i="39"/>
  <c r="C8" i="39"/>
  <c r="C9" i="39"/>
  <c r="C10" i="39"/>
  <c r="C11" i="39"/>
  <c r="C12" i="39"/>
  <c r="C13" i="39"/>
  <c r="F11" i="15"/>
  <c r="F12" i="15"/>
  <c r="F13" i="15"/>
  <c r="F10" i="15"/>
  <c r="F5" i="15"/>
  <c r="F6" i="15"/>
  <c r="F7" i="15"/>
  <c r="F8" i="15"/>
  <c r="F5" i="14"/>
  <c r="F6" i="14"/>
  <c r="F7" i="14"/>
  <c r="F8" i="14"/>
  <c r="F9" i="14"/>
  <c r="F10" i="14"/>
  <c r="F11" i="14"/>
  <c r="F12" i="14"/>
  <c r="F13" i="14"/>
  <c r="F14" i="14"/>
  <c r="F15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4" i="13"/>
  <c r="F5" i="13"/>
  <c r="F6" i="13"/>
  <c r="F7" i="13"/>
  <c r="F8" i="13"/>
  <c r="F9" i="13"/>
  <c r="F10" i="13"/>
  <c r="F4" i="12"/>
  <c r="H6" i="11"/>
  <c r="F5" i="10"/>
  <c r="F6" i="10"/>
  <c r="F7" i="10"/>
  <c r="F8" i="10"/>
  <c r="F9" i="10"/>
  <c r="F10" i="10"/>
  <c r="F11" i="10"/>
  <c r="F12" i="10"/>
  <c r="F4" i="10"/>
  <c r="F13" i="10"/>
  <c r="F14" i="10"/>
  <c r="F15" i="10"/>
  <c r="F16" i="10"/>
  <c r="F17" i="10"/>
  <c r="F18" i="10"/>
  <c r="F14" i="15"/>
  <c r="F21" i="12"/>
  <c r="E20" i="6"/>
  <c r="F4" i="4"/>
  <c r="F5" i="4"/>
  <c r="F6" i="4"/>
  <c r="F7" i="4"/>
  <c r="F8" i="4"/>
  <c r="F9" i="4"/>
  <c r="F10" i="4"/>
  <c r="F11" i="4"/>
  <c r="F12" i="4"/>
  <c r="F13" i="4"/>
  <c r="F14" i="4"/>
  <c r="F15" i="4"/>
  <c r="I49" i="37"/>
  <c r="J49" i="37"/>
  <c r="K49" i="37"/>
  <c r="L49" i="37"/>
  <c r="M49" i="37"/>
  <c r="N49" i="37"/>
  <c r="O49" i="37"/>
  <c r="P49" i="37"/>
  <c r="Q49" i="37"/>
  <c r="R49" i="37"/>
  <c r="S49" i="37"/>
  <c r="T49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AH49" i="37"/>
  <c r="AI49" i="37"/>
  <c r="AJ49" i="37"/>
  <c r="AK49" i="37"/>
  <c r="AL49" i="37"/>
  <c r="AM49" i="37"/>
  <c r="AN49" i="37"/>
  <c r="AO49" i="37"/>
  <c r="AP49" i="37"/>
  <c r="AQ49" i="37"/>
  <c r="AR49" i="37"/>
  <c r="AS49" i="37"/>
  <c r="AT49" i="37"/>
  <c r="AU49" i="37"/>
  <c r="AV49" i="37"/>
  <c r="AW49" i="37"/>
  <c r="AX49" i="37"/>
  <c r="AY49" i="37"/>
  <c r="AZ49" i="37"/>
  <c r="BA49" i="37"/>
  <c r="BB49" i="37"/>
  <c r="BC49" i="37"/>
  <c r="BD49" i="37"/>
  <c r="BV5" i="37"/>
  <c r="BU5" i="37"/>
  <c r="BT5" i="37"/>
  <c r="BS5" i="37"/>
  <c r="BR5" i="37"/>
  <c r="BQ5" i="37"/>
  <c r="BP5" i="37"/>
  <c r="BO5" i="37"/>
  <c r="BN5" i="37"/>
  <c r="E5" i="37"/>
  <c r="E6" i="37"/>
  <c r="E7" i="37"/>
  <c r="B5" i="37"/>
  <c r="D5" i="37"/>
  <c r="F5" i="37"/>
  <c r="G5" i="37"/>
  <c r="G4" i="37"/>
  <c r="C4" i="37"/>
  <c r="D4" i="37"/>
  <c r="H4" i="37"/>
  <c r="I4" i="37"/>
  <c r="J4" i="37"/>
  <c r="K4" i="37"/>
  <c r="L4" i="37"/>
  <c r="M4" i="37"/>
  <c r="N4" i="37"/>
  <c r="O4" i="37"/>
  <c r="P4" i="37"/>
  <c r="Q4" i="37"/>
  <c r="R4" i="37"/>
  <c r="S4" i="37"/>
  <c r="T4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AH4" i="37"/>
  <c r="AI4" i="37"/>
  <c r="AJ4" i="37"/>
  <c r="AK4" i="37"/>
  <c r="AL4" i="37"/>
  <c r="AM4" i="37"/>
  <c r="AN4" i="37"/>
  <c r="AO4" i="37"/>
  <c r="AP4" i="37"/>
  <c r="AQ4" i="37"/>
  <c r="AR4" i="37"/>
  <c r="AS4" i="37"/>
  <c r="AT4" i="37"/>
  <c r="AU4" i="37"/>
  <c r="AV4" i="37"/>
  <c r="AW4" i="37"/>
  <c r="AX4" i="37"/>
  <c r="AY4" i="37"/>
  <c r="AZ4" i="37"/>
  <c r="BA4" i="37"/>
  <c r="BB4" i="37"/>
  <c r="BC4" i="37"/>
  <c r="BD4" i="37"/>
  <c r="H5" i="37"/>
  <c r="I5" i="37"/>
  <c r="J5" i="37"/>
  <c r="K5" i="37"/>
  <c r="L5" i="37"/>
  <c r="M5" i="37"/>
  <c r="N5" i="37"/>
  <c r="O5" i="37"/>
  <c r="P5" i="37"/>
  <c r="Q5" i="37"/>
  <c r="R5" i="37"/>
  <c r="S5" i="37"/>
  <c r="T5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AH5" i="37"/>
  <c r="AI5" i="37"/>
  <c r="AJ5" i="37"/>
  <c r="AK5" i="37"/>
  <c r="AL5" i="37"/>
  <c r="AM5" i="37"/>
  <c r="AN5" i="37"/>
  <c r="AO5" i="37"/>
  <c r="AP5" i="37"/>
  <c r="AQ5" i="37"/>
  <c r="AR5" i="37"/>
  <c r="AS5" i="37"/>
  <c r="AT5" i="37"/>
  <c r="AU5" i="37"/>
  <c r="AV5" i="37"/>
  <c r="AW5" i="37"/>
  <c r="AX5" i="37"/>
  <c r="AY5" i="37"/>
  <c r="AZ5" i="37"/>
  <c r="BA5" i="37"/>
  <c r="BB5" i="37"/>
  <c r="BC5" i="37"/>
  <c r="BD5" i="37"/>
  <c r="G7" i="37"/>
  <c r="E8" i="37"/>
  <c r="E9" i="37"/>
  <c r="B6" i="37"/>
  <c r="C5" i="37"/>
  <c r="F6" i="37"/>
  <c r="G6" i="37"/>
  <c r="D6" i="37"/>
  <c r="C6" i="37"/>
  <c r="B7" i="37"/>
  <c r="E10" i="37"/>
  <c r="E11" i="37"/>
  <c r="G9" i="37"/>
  <c r="C31" i="35"/>
  <c r="D24" i="27"/>
  <c r="G11" i="37"/>
  <c r="E12" i="37"/>
  <c r="E13" i="37"/>
  <c r="B8" i="37"/>
  <c r="C7" i="37"/>
  <c r="D7" i="37"/>
  <c r="H7" i="37"/>
  <c r="I7" i="37"/>
  <c r="J7" i="37"/>
  <c r="K7" i="37"/>
  <c r="L7" i="37"/>
  <c r="M7" i="37"/>
  <c r="N7" i="37"/>
  <c r="O7" i="37"/>
  <c r="P7" i="37"/>
  <c r="Q7" i="37"/>
  <c r="R7" i="37"/>
  <c r="S7" i="37"/>
  <c r="T7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AH7" i="37"/>
  <c r="AI7" i="37"/>
  <c r="AJ7" i="37"/>
  <c r="AK7" i="37"/>
  <c r="AL7" i="37"/>
  <c r="AM7" i="37"/>
  <c r="AN7" i="37"/>
  <c r="AO7" i="37"/>
  <c r="AP7" i="37"/>
  <c r="AQ7" i="37"/>
  <c r="AR7" i="37"/>
  <c r="AS7" i="37"/>
  <c r="AT7" i="37"/>
  <c r="AU7" i="37"/>
  <c r="AV7" i="37"/>
  <c r="AW7" i="37"/>
  <c r="AX7" i="37"/>
  <c r="AY7" i="37"/>
  <c r="AZ7" i="37"/>
  <c r="BA7" i="37"/>
  <c r="BB7" i="37"/>
  <c r="BC7" i="37"/>
  <c r="BD7" i="37"/>
  <c r="H6" i="37"/>
  <c r="I6" i="37"/>
  <c r="J6" i="37"/>
  <c r="K6" i="37"/>
  <c r="L6" i="37"/>
  <c r="M6" i="37"/>
  <c r="N6" i="37"/>
  <c r="O6" i="37"/>
  <c r="P6" i="37"/>
  <c r="Q6" i="37"/>
  <c r="R6" i="37"/>
  <c r="S6" i="37"/>
  <c r="T6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AH6" i="37"/>
  <c r="AI6" i="37"/>
  <c r="AJ6" i="37"/>
  <c r="AK6" i="37"/>
  <c r="AL6" i="37"/>
  <c r="AM6" i="37"/>
  <c r="AN6" i="37"/>
  <c r="AO6" i="37"/>
  <c r="AP6" i="37"/>
  <c r="AQ6" i="37"/>
  <c r="AR6" i="37"/>
  <c r="AS6" i="37"/>
  <c r="AT6" i="37"/>
  <c r="AU6" i="37"/>
  <c r="AV6" i="37"/>
  <c r="AW6" i="37"/>
  <c r="AX6" i="37"/>
  <c r="AY6" i="37"/>
  <c r="AZ6" i="37"/>
  <c r="BA6" i="37"/>
  <c r="BB6" i="37"/>
  <c r="BC6" i="37"/>
  <c r="BD6" i="37"/>
  <c r="B9" i="37"/>
  <c r="C8" i="37"/>
  <c r="F8" i="37"/>
  <c r="G8" i="37"/>
  <c r="D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AH8" i="37"/>
  <c r="AI8" i="37"/>
  <c r="AJ8" i="37"/>
  <c r="AK8" i="37"/>
  <c r="AL8" i="37"/>
  <c r="AM8" i="37"/>
  <c r="AN8" i="37"/>
  <c r="AO8" i="37"/>
  <c r="AP8" i="37"/>
  <c r="AQ8" i="37"/>
  <c r="AR8" i="37"/>
  <c r="AS8" i="37"/>
  <c r="AT8" i="37"/>
  <c r="AU8" i="37"/>
  <c r="AV8" i="37"/>
  <c r="AW8" i="37"/>
  <c r="AX8" i="37"/>
  <c r="AY8" i="37"/>
  <c r="AZ8" i="37"/>
  <c r="BA8" i="37"/>
  <c r="BB8" i="37"/>
  <c r="BC8" i="37"/>
  <c r="BD8" i="37"/>
  <c r="E14" i="37"/>
  <c r="G13" i="37"/>
  <c r="B10" i="37"/>
  <c r="C9" i="37"/>
  <c r="D9" i="37"/>
  <c r="H9" i="37"/>
  <c r="I9" i="37"/>
  <c r="J9" i="37"/>
  <c r="K9" i="37"/>
  <c r="L9" i="37"/>
  <c r="M9" i="37"/>
  <c r="N9" i="37"/>
  <c r="O9" i="37"/>
  <c r="P9" i="37"/>
  <c r="Q9" i="37"/>
  <c r="R9" i="37"/>
  <c r="S9" i="37"/>
  <c r="T9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AH9" i="37"/>
  <c r="AI9" i="37"/>
  <c r="AJ9" i="37"/>
  <c r="AK9" i="37"/>
  <c r="AL9" i="37"/>
  <c r="AM9" i="37"/>
  <c r="AN9" i="37"/>
  <c r="AO9" i="37"/>
  <c r="AP9" i="37"/>
  <c r="AQ9" i="37"/>
  <c r="AR9" i="37"/>
  <c r="AS9" i="37"/>
  <c r="AT9" i="37"/>
  <c r="AU9" i="37"/>
  <c r="AV9" i="37"/>
  <c r="AW9" i="37"/>
  <c r="AX9" i="37"/>
  <c r="AY9" i="37"/>
  <c r="AZ9" i="37"/>
  <c r="BA9" i="37"/>
  <c r="BB9" i="37"/>
  <c r="BC9" i="37"/>
  <c r="BD9" i="37"/>
  <c r="E15" i="37"/>
  <c r="G14" i="37"/>
  <c r="G15" i="37"/>
  <c r="E16" i="37"/>
  <c r="E17" i="37"/>
  <c r="B11" i="37"/>
  <c r="C10" i="37"/>
  <c r="F10" i="37"/>
  <c r="G10" i="37"/>
  <c r="D10" i="37"/>
  <c r="H10" i="37"/>
  <c r="I10" i="37"/>
  <c r="J10" i="37"/>
  <c r="K10" i="37"/>
  <c r="L10" i="37"/>
  <c r="M10" i="37"/>
  <c r="N10" i="37"/>
  <c r="O10" i="37"/>
  <c r="P10" i="37"/>
  <c r="Q10" i="37"/>
  <c r="R10" i="37"/>
  <c r="S10" i="37"/>
  <c r="T10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AH10" i="37"/>
  <c r="AI10" i="37"/>
  <c r="AJ10" i="37"/>
  <c r="AK10" i="37"/>
  <c r="AL10" i="37"/>
  <c r="AM10" i="37"/>
  <c r="AN10" i="37"/>
  <c r="AO10" i="37"/>
  <c r="AP10" i="37"/>
  <c r="AQ10" i="37"/>
  <c r="AR10" i="37"/>
  <c r="AS10" i="37"/>
  <c r="AT10" i="37"/>
  <c r="AU10" i="37"/>
  <c r="AV10" i="37"/>
  <c r="AW10" i="37"/>
  <c r="AX10" i="37"/>
  <c r="AY10" i="37"/>
  <c r="AZ10" i="37"/>
  <c r="BA10" i="37"/>
  <c r="BB10" i="37"/>
  <c r="BC10" i="37"/>
  <c r="BD10" i="37"/>
  <c r="B12" i="37"/>
  <c r="C11" i="37"/>
  <c r="D11" i="37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AH11" i="37"/>
  <c r="AI11" i="37"/>
  <c r="AJ11" i="37"/>
  <c r="AK11" i="37"/>
  <c r="AL11" i="37"/>
  <c r="AM11" i="37"/>
  <c r="AN11" i="37"/>
  <c r="AO11" i="37"/>
  <c r="AP11" i="37"/>
  <c r="AQ11" i="37"/>
  <c r="AR11" i="37"/>
  <c r="AS11" i="37"/>
  <c r="AT11" i="37"/>
  <c r="AU11" i="37"/>
  <c r="AV11" i="37"/>
  <c r="AW11" i="37"/>
  <c r="AX11" i="37"/>
  <c r="AY11" i="37"/>
  <c r="AZ11" i="37"/>
  <c r="BA11" i="37"/>
  <c r="BB11" i="37"/>
  <c r="BC11" i="37"/>
  <c r="BD11" i="37"/>
  <c r="E18" i="37"/>
  <c r="G17" i="37"/>
  <c r="E19" i="37"/>
  <c r="E20" i="37"/>
  <c r="G18" i="37"/>
  <c r="C12" i="37"/>
  <c r="F12" i="37"/>
  <c r="G12" i="37"/>
  <c r="B13" i="37"/>
  <c r="D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14" i="37"/>
  <c r="C13" i="37"/>
  <c r="D13" i="37"/>
  <c r="H13" i="37"/>
  <c r="I13" i="37"/>
  <c r="J13" i="37"/>
  <c r="K13" i="37"/>
  <c r="L13" i="37"/>
  <c r="M13" i="37"/>
  <c r="N13" i="37"/>
  <c r="O13" i="37"/>
  <c r="P13" i="37"/>
  <c r="Q13" i="37"/>
  <c r="R13" i="37"/>
  <c r="S13" i="37"/>
  <c r="T13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AH13" i="37"/>
  <c r="AI13" i="37"/>
  <c r="AJ13" i="37"/>
  <c r="AK13" i="37"/>
  <c r="AL13" i="37"/>
  <c r="AM13" i="37"/>
  <c r="AN13" i="37"/>
  <c r="AO13" i="37"/>
  <c r="AP13" i="37"/>
  <c r="AQ13" i="37"/>
  <c r="AR13" i="37"/>
  <c r="AS13" i="37"/>
  <c r="AT13" i="37"/>
  <c r="AU13" i="37"/>
  <c r="AV13" i="37"/>
  <c r="AW13" i="37"/>
  <c r="AX13" i="37"/>
  <c r="AY13" i="37"/>
  <c r="AZ13" i="37"/>
  <c r="BA13" i="37"/>
  <c r="BB13" i="37"/>
  <c r="BC13" i="37"/>
  <c r="BD13" i="37"/>
  <c r="G20" i="37"/>
  <c r="E21" i="37"/>
  <c r="E22" i="37"/>
  <c r="E23" i="37"/>
  <c r="E24" i="37"/>
  <c r="E25" i="37"/>
  <c r="E26" i="37"/>
  <c r="G23" i="37"/>
  <c r="C14" i="37"/>
  <c r="D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AH14" i="37"/>
  <c r="AI14" i="37"/>
  <c r="AJ14" i="37"/>
  <c r="AK14" i="37"/>
  <c r="AL14" i="37"/>
  <c r="AM14" i="37"/>
  <c r="AN14" i="37"/>
  <c r="AO14" i="37"/>
  <c r="AP14" i="37"/>
  <c r="AQ14" i="37"/>
  <c r="AR14" i="37"/>
  <c r="AS14" i="37"/>
  <c r="AT14" i="37"/>
  <c r="AU14" i="37"/>
  <c r="AV14" i="37"/>
  <c r="AW14" i="37"/>
  <c r="AX14" i="37"/>
  <c r="AY14" i="37"/>
  <c r="AZ14" i="37"/>
  <c r="BA14" i="37"/>
  <c r="BB14" i="37"/>
  <c r="BC14" i="37"/>
  <c r="BD14" i="37"/>
  <c r="B15" i="37"/>
  <c r="B16" i="37"/>
  <c r="C15" i="37"/>
  <c r="D15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AH15" i="37"/>
  <c r="AI15" i="37"/>
  <c r="AJ15" i="37"/>
  <c r="AK15" i="37"/>
  <c r="AL15" i="37"/>
  <c r="AM15" i="37"/>
  <c r="AN15" i="37"/>
  <c r="AO15" i="37"/>
  <c r="AP15" i="37"/>
  <c r="AQ15" i="37"/>
  <c r="AR15" i="37"/>
  <c r="AS15" i="37"/>
  <c r="AT15" i="37"/>
  <c r="AU15" i="37"/>
  <c r="AV15" i="37"/>
  <c r="AW15" i="37"/>
  <c r="AX15" i="37"/>
  <c r="AY15" i="37"/>
  <c r="AZ15" i="37"/>
  <c r="BA15" i="37"/>
  <c r="BB15" i="37"/>
  <c r="BC15" i="37"/>
  <c r="BD15" i="37"/>
  <c r="G26" i="37"/>
  <c r="E27" i="37"/>
  <c r="G27" i="37"/>
  <c r="E28" i="37"/>
  <c r="E29" i="37"/>
  <c r="B17" i="37"/>
  <c r="C16" i="37"/>
  <c r="F16" i="37"/>
  <c r="G16" i="37"/>
  <c r="D16" i="37"/>
  <c r="H16" i="37"/>
  <c r="I16" i="37"/>
  <c r="J16" i="37"/>
  <c r="K16" i="37"/>
  <c r="L16" i="37"/>
  <c r="M16" i="37"/>
  <c r="N16" i="37"/>
  <c r="O16" i="37"/>
  <c r="P16" i="37"/>
  <c r="Q16" i="37"/>
  <c r="R16" i="37"/>
  <c r="S16" i="37"/>
  <c r="T16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AH16" i="37"/>
  <c r="AI16" i="37"/>
  <c r="AJ16" i="37"/>
  <c r="AK16" i="37"/>
  <c r="AL16" i="37"/>
  <c r="AM16" i="37"/>
  <c r="AN16" i="37"/>
  <c r="AO16" i="37"/>
  <c r="AP16" i="37"/>
  <c r="AQ16" i="37"/>
  <c r="AR16" i="37"/>
  <c r="AS16" i="37"/>
  <c r="AT16" i="37"/>
  <c r="AU16" i="37"/>
  <c r="AV16" i="37"/>
  <c r="AW16" i="37"/>
  <c r="AX16" i="37"/>
  <c r="AY16" i="37"/>
  <c r="AZ16" i="37"/>
  <c r="BA16" i="37"/>
  <c r="BB16" i="37"/>
  <c r="BC16" i="37"/>
  <c r="BD16" i="37"/>
  <c r="C17" i="37"/>
  <c r="D17" i="37"/>
  <c r="H17" i="37"/>
  <c r="I17" i="37"/>
  <c r="J17" i="37"/>
  <c r="K17" i="37"/>
  <c r="L17" i="37"/>
  <c r="M17" i="37"/>
  <c r="N17" i="37"/>
  <c r="O17" i="37"/>
  <c r="P17" i="37"/>
  <c r="Q17" i="37"/>
  <c r="R17" i="37"/>
  <c r="S17" i="37"/>
  <c r="T17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AH17" i="37"/>
  <c r="AI17" i="37"/>
  <c r="AJ17" i="37"/>
  <c r="AK17" i="37"/>
  <c r="AL17" i="37"/>
  <c r="AM17" i="37"/>
  <c r="AN17" i="37"/>
  <c r="AO17" i="37"/>
  <c r="AP17" i="37"/>
  <c r="AQ17" i="37"/>
  <c r="AR17" i="37"/>
  <c r="AS17" i="37"/>
  <c r="AT17" i="37"/>
  <c r="AU17" i="37"/>
  <c r="AV17" i="37"/>
  <c r="AW17" i="37"/>
  <c r="AX17" i="37"/>
  <c r="AY17" i="37"/>
  <c r="AZ17" i="37"/>
  <c r="BA17" i="37"/>
  <c r="BB17" i="37"/>
  <c r="BC17" i="37"/>
  <c r="BD17" i="37"/>
  <c r="B18" i="37"/>
  <c r="E30" i="37"/>
  <c r="G29" i="37"/>
  <c r="E31" i="37"/>
  <c r="E32" i="37"/>
  <c r="E33" i="37"/>
  <c r="E34" i="37"/>
  <c r="E35" i="37"/>
  <c r="E36" i="37"/>
  <c r="E37" i="37"/>
  <c r="G30" i="37"/>
  <c r="C18" i="37"/>
  <c r="D18" i="37"/>
  <c r="H18" i="37"/>
  <c r="I18" i="37"/>
  <c r="J18" i="37"/>
  <c r="K18" i="37"/>
  <c r="L18" i="37"/>
  <c r="M18" i="37"/>
  <c r="N18" i="37"/>
  <c r="O18" i="37"/>
  <c r="P18" i="37"/>
  <c r="Q18" i="37"/>
  <c r="R18" i="37"/>
  <c r="S18" i="37"/>
  <c r="T18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AH18" i="37"/>
  <c r="AI18" i="37"/>
  <c r="AJ18" i="37"/>
  <c r="AK18" i="37"/>
  <c r="AL18" i="37"/>
  <c r="AM18" i="37"/>
  <c r="AN18" i="37"/>
  <c r="AO18" i="37"/>
  <c r="AP18" i="37"/>
  <c r="AQ18" i="37"/>
  <c r="AR18" i="37"/>
  <c r="AS18" i="37"/>
  <c r="AT18" i="37"/>
  <c r="AU18" i="37"/>
  <c r="AV18" i="37"/>
  <c r="AW18" i="37"/>
  <c r="AX18" i="37"/>
  <c r="AY18" i="37"/>
  <c r="AZ18" i="37"/>
  <c r="BA18" i="37"/>
  <c r="BB18" i="37"/>
  <c r="BC18" i="37"/>
  <c r="BD18" i="37"/>
  <c r="B19" i="37"/>
  <c r="D19" i="37"/>
  <c r="C19" i="37"/>
  <c r="F19" i="37"/>
  <c r="G19" i="37"/>
  <c r="B20" i="37"/>
  <c r="E38" i="37"/>
  <c r="E39" i="37"/>
  <c r="E40" i="37"/>
  <c r="G37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AH19" i="37"/>
  <c r="AI19" i="37"/>
  <c r="AJ19" i="37"/>
  <c r="AK19" i="37"/>
  <c r="AL19" i="37"/>
  <c r="AM19" i="37"/>
  <c r="AN19" i="37"/>
  <c r="AO19" i="37"/>
  <c r="AP19" i="37"/>
  <c r="AQ19" i="37"/>
  <c r="AR19" i="37"/>
  <c r="AS19" i="37"/>
  <c r="AT19" i="37"/>
  <c r="AU19" i="37"/>
  <c r="AV19" i="37"/>
  <c r="AW19" i="37"/>
  <c r="AX19" i="37"/>
  <c r="AY19" i="37"/>
  <c r="AZ19" i="37"/>
  <c r="BA19" i="37"/>
  <c r="BB19" i="37"/>
  <c r="BC19" i="37"/>
  <c r="BD19" i="37"/>
  <c r="E41" i="37"/>
  <c r="E42" i="37"/>
  <c r="E43" i="37"/>
  <c r="G40" i="37"/>
  <c r="B21" i="37"/>
  <c r="C20" i="37"/>
  <c r="D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AH20" i="37"/>
  <c r="AI20" i="37"/>
  <c r="AJ20" i="37"/>
  <c r="AK20" i="37"/>
  <c r="AL20" i="37"/>
  <c r="AM20" i="37"/>
  <c r="AN20" i="37"/>
  <c r="AO20" i="37"/>
  <c r="AP20" i="37"/>
  <c r="AQ20" i="37"/>
  <c r="AR20" i="37"/>
  <c r="AS20" i="37"/>
  <c r="AT20" i="37"/>
  <c r="AU20" i="37"/>
  <c r="AV20" i="37"/>
  <c r="AW20" i="37"/>
  <c r="AX20" i="37"/>
  <c r="AY20" i="37"/>
  <c r="AZ20" i="37"/>
  <c r="BA20" i="37"/>
  <c r="BB20" i="37"/>
  <c r="BC20" i="37"/>
  <c r="BD20" i="37"/>
  <c r="B22" i="37"/>
  <c r="C21" i="37"/>
  <c r="F21" i="37"/>
  <c r="G21" i="37"/>
  <c r="G43" i="37"/>
  <c r="E44" i="37"/>
  <c r="E45" i="37"/>
  <c r="E46" i="37"/>
  <c r="E47" i="37"/>
  <c r="E48" i="37"/>
  <c r="E49" i="37"/>
  <c r="G48" i="37"/>
  <c r="D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AH21" i="37"/>
  <c r="AI21" i="37"/>
  <c r="AJ21" i="37"/>
  <c r="AK21" i="37"/>
  <c r="AL21" i="37"/>
  <c r="AM21" i="37"/>
  <c r="AN21" i="37"/>
  <c r="AO21" i="37"/>
  <c r="AP21" i="37"/>
  <c r="AQ21" i="37"/>
  <c r="AR21" i="37"/>
  <c r="AS21" i="37"/>
  <c r="AT21" i="37"/>
  <c r="AU21" i="37"/>
  <c r="AV21" i="37"/>
  <c r="AW21" i="37"/>
  <c r="AX21" i="37"/>
  <c r="AY21" i="37"/>
  <c r="AZ21" i="37"/>
  <c r="BA21" i="37"/>
  <c r="BB21" i="37"/>
  <c r="BC21" i="37"/>
  <c r="BD21" i="37"/>
  <c r="C22" i="37"/>
  <c r="F22" i="37"/>
  <c r="G22" i="37"/>
  <c r="B23" i="37"/>
  <c r="D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AH22" i="37"/>
  <c r="AI22" i="37"/>
  <c r="AJ22" i="37"/>
  <c r="AK22" i="37"/>
  <c r="AL22" i="37"/>
  <c r="AM22" i="37"/>
  <c r="AN22" i="37"/>
  <c r="AO22" i="37"/>
  <c r="AP22" i="37"/>
  <c r="AQ22" i="37"/>
  <c r="AR22" i="37"/>
  <c r="AS22" i="37"/>
  <c r="AT22" i="37"/>
  <c r="AU22" i="37"/>
  <c r="AV22" i="37"/>
  <c r="AW22" i="37"/>
  <c r="AX22" i="37"/>
  <c r="AY22" i="37"/>
  <c r="AZ22" i="37"/>
  <c r="BA22" i="37"/>
  <c r="BB22" i="37"/>
  <c r="BC22" i="37"/>
  <c r="BD22" i="37"/>
  <c r="B24" i="37"/>
  <c r="C23" i="37"/>
  <c r="D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AH23" i="37"/>
  <c r="AI23" i="37"/>
  <c r="AJ23" i="37"/>
  <c r="AK23" i="37"/>
  <c r="AL23" i="37"/>
  <c r="AM23" i="37"/>
  <c r="AN23" i="37"/>
  <c r="AO23" i="37"/>
  <c r="AP23" i="37"/>
  <c r="AQ23" i="37"/>
  <c r="AR23" i="37"/>
  <c r="AS23" i="37"/>
  <c r="AT23" i="37"/>
  <c r="AU23" i="37"/>
  <c r="AV23" i="37"/>
  <c r="AW23" i="37"/>
  <c r="AX23" i="37"/>
  <c r="AY23" i="37"/>
  <c r="AZ23" i="37"/>
  <c r="BA23" i="37"/>
  <c r="BB23" i="37"/>
  <c r="BC23" i="37"/>
  <c r="BD23" i="37"/>
  <c r="G49" i="37"/>
  <c r="E50" i="37"/>
  <c r="E51" i="37"/>
  <c r="C24" i="37"/>
  <c r="F24" i="37"/>
  <c r="G24" i="37"/>
  <c r="B25" i="37"/>
  <c r="D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AH24" i="37"/>
  <c r="AI24" i="37"/>
  <c r="AJ24" i="37"/>
  <c r="AK24" i="37"/>
  <c r="AL24" i="37"/>
  <c r="AM24" i="37"/>
  <c r="AN24" i="37"/>
  <c r="AO24" i="37"/>
  <c r="AP24" i="37"/>
  <c r="AQ24" i="37"/>
  <c r="AR24" i="37"/>
  <c r="AS24" i="37"/>
  <c r="AT24" i="37"/>
  <c r="AU24" i="37"/>
  <c r="AV24" i="37"/>
  <c r="AW24" i="37"/>
  <c r="AX24" i="37"/>
  <c r="AY24" i="37"/>
  <c r="AZ24" i="37"/>
  <c r="BA24" i="37"/>
  <c r="BB24" i="37"/>
  <c r="BC24" i="37"/>
  <c r="BD24" i="37"/>
  <c r="B26" i="37"/>
  <c r="C25" i="37"/>
  <c r="F25" i="37"/>
  <c r="G25" i="37"/>
  <c r="D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AS25" i="37"/>
  <c r="AT25" i="37"/>
  <c r="AU25" i="37"/>
  <c r="AV25" i="37"/>
  <c r="AW25" i="37"/>
  <c r="AX25" i="37"/>
  <c r="AY25" i="37"/>
  <c r="AZ25" i="37"/>
  <c r="BA25" i="37"/>
  <c r="BB25" i="37"/>
  <c r="BC25" i="37"/>
  <c r="BD25" i="37"/>
  <c r="B27" i="37"/>
  <c r="C26" i="37"/>
  <c r="D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AH26" i="37"/>
  <c r="AI26" i="37"/>
  <c r="AJ26" i="37"/>
  <c r="AK26" i="37"/>
  <c r="AL26" i="37"/>
  <c r="AM26" i="37"/>
  <c r="AN26" i="37"/>
  <c r="AO26" i="37"/>
  <c r="AP26" i="37"/>
  <c r="AQ26" i="37"/>
  <c r="AR26" i="37"/>
  <c r="AS26" i="37"/>
  <c r="AT26" i="37"/>
  <c r="AU26" i="37"/>
  <c r="AV26" i="37"/>
  <c r="AW26" i="37"/>
  <c r="AX26" i="37"/>
  <c r="AY26" i="37"/>
  <c r="AZ26" i="37"/>
  <c r="BA26" i="37"/>
  <c r="BB26" i="37"/>
  <c r="BC26" i="37"/>
  <c r="BD26" i="37"/>
  <c r="B28" i="37"/>
  <c r="C27" i="37"/>
  <c r="D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T27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AH27" i="37"/>
  <c r="AI27" i="37"/>
  <c r="AJ27" i="37"/>
  <c r="AK27" i="37"/>
  <c r="AL27" i="37"/>
  <c r="AM27" i="37"/>
  <c r="AN27" i="37"/>
  <c r="AO27" i="37"/>
  <c r="AP27" i="37"/>
  <c r="AQ27" i="37"/>
  <c r="AR27" i="37"/>
  <c r="AS27" i="37"/>
  <c r="AT27" i="37"/>
  <c r="AU27" i="37"/>
  <c r="AV27" i="37"/>
  <c r="AW27" i="37"/>
  <c r="AX27" i="37"/>
  <c r="AY27" i="37"/>
  <c r="AZ27" i="37"/>
  <c r="BA27" i="37"/>
  <c r="BB27" i="37"/>
  <c r="BC27" i="37"/>
  <c r="BD27" i="37"/>
  <c r="C28" i="37"/>
  <c r="F28" i="37"/>
  <c r="G28" i="37"/>
  <c r="B29" i="37"/>
  <c r="D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AS28" i="37"/>
  <c r="AT28" i="37"/>
  <c r="AU28" i="37"/>
  <c r="AV28" i="37"/>
  <c r="AW28" i="37"/>
  <c r="AX28" i="37"/>
  <c r="AY28" i="37"/>
  <c r="AZ28" i="37"/>
  <c r="BA28" i="37"/>
  <c r="BB28" i="37"/>
  <c r="BC28" i="37"/>
  <c r="BD28" i="37"/>
  <c r="C29" i="37"/>
  <c r="D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AH29" i="37"/>
  <c r="AI29" i="37"/>
  <c r="AJ29" i="37"/>
  <c r="AK29" i="37"/>
  <c r="AL29" i="37"/>
  <c r="AM29" i="37"/>
  <c r="AN29" i="37"/>
  <c r="AO29" i="37"/>
  <c r="AP29" i="37"/>
  <c r="AQ29" i="37"/>
  <c r="AR29" i="37"/>
  <c r="AS29" i="37"/>
  <c r="AT29" i="37"/>
  <c r="AU29" i="37"/>
  <c r="AV29" i="37"/>
  <c r="AW29" i="37"/>
  <c r="AX29" i="37"/>
  <c r="AY29" i="37"/>
  <c r="AZ29" i="37"/>
  <c r="BA29" i="37"/>
  <c r="BB29" i="37"/>
  <c r="BC29" i="37"/>
  <c r="BD29" i="37"/>
  <c r="B30" i="37"/>
  <c r="C30" i="37"/>
  <c r="D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AH30" i="37"/>
  <c r="AI30" i="37"/>
  <c r="AJ30" i="37"/>
  <c r="AK30" i="37"/>
  <c r="AL30" i="37"/>
  <c r="AM30" i="37"/>
  <c r="AN30" i="37"/>
  <c r="AO30" i="37"/>
  <c r="AP30" i="37"/>
  <c r="AQ30" i="37"/>
  <c r="AR30" i="37"/>
  <c r="AS30" i="37"/>
  <c r="AT30" i="37"/>
  <c r="AU30" i="37"/>
  <c r="AV30" i="37"/>
  <c r="AW30" i="37"/>
  <c r="AX30" i="37"/>
  <c r="AY30" i="37"/>
  <c r="AZ30" i="37"/>
  <c r="BA30" i="37"/>
  <c r="BB30" i="37"/>
  <c r="BC30" i="37"/>
  <c r="BD30" i="37"/>
  <c r="B31" i="37"/>
  <c r="D31" i="37"/>
  <c r="B32" i="37"/>
  <c r="C31" i="37"/>
  <c r="F31" i="37"/>
  <c r="G31" i="37"/>
  <c r="B33" i="37"/>
  <c r="C32" i="37"/>
  <c r="F32" i="37"/>
  <c r="G32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AH31" i="37"/>
  <c r="AI31" i="37"/>
  <c r="AJ31" i="37"/>
  <c r="AK31" i="37"/>
  <c r="AL31" i="37"/>
  <c r="AM31" i="37"/>
  <c r="AN31" i="37"/>
  <c r="AO31" i="37"/>
  <c r="AP31" i="37"/>
  <c r="AQ31" i="37"/>
  <c r="AR31" i="37"/>
  <c r="AS31" i="37"/>
  <c r="AT31" i="37"/>
  <c r="AU31" i="37"/>
  <c r="AV31" i="37"/>
  <c r="AW31" i="37"/>
  <c r="AX31" i="37"/>
  <c r="AY31" i="37"/>
  <c r="AZ31" i="37"/>
  <c r="BA31" i="37"/>
  <c r="BB31" i="37"/>
  <c r="BC31" i="37"/>
  <c r="BD31" i="37"/>
  <c r="D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AH32" i="37"/>
  <c r="AI32" i="37"/>
  <c r="AJ32" i="37"/>
  <c r="AK32" i="37"/>
  <c r="AL32" i="37"/>
  <c r="AM32" i="37"/>
  <c r="AN32" i="37"/>
  <c r="AO32" i="37"/>
  <c r="AP32" i="37"/>
  <c r="AQ32" i="37"/>
  <c r="AR32" i="37"/>
  <c r="AS32" i="37"/>
  <c r="AT32" i="37"/>
  <c r="AU32" i="37"/>
  <c r="AV32" i="37"/>
  <c r="AW32" i="37"/>
  <c r="AX32" i="37"/>
  <c r="AY32" i="37"/>
  <c r="AZ32" i="37"/>
  <c r="BA32" i="37"/>
  <c r="BB32" i="37"/>
  <c r="BC32" i="37"/>
  <c r="BD32" i="37"/>
  <c r="C33" i="37"/>
  <c r="F33" i="37"/>
  <c r="G33" i="37"/>
  <c r="B34" i="37"/>
  <c r="D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AH33" i="37"/>
  <c r="AI33" i="37"/>
  <c r="AJ33" i="37"/>
  <c r="AK33" i="37"/>
  <c r="AL33" i="37"/>
  <c r="AM33" i="37"/>
  <c r="AN33" i="37"/>
  <c r="AO33" i="37"/>
  <c r="AP33" i="37"/>
  <c r="AQ33" i="37"/>
  <c r="AR33" i="37"/>
  <c r="AS33" i="37"/>
  <c r="AT33" i="37"/>
  <c r="AU33" i="37"/>
  <c r="AV33" i="37"/>
  <c r="AW33" i="37"/>
  <c r="AX33" i="37"/>
  <c r="AY33" i="37"/>
  <c r="AZ33" i="37"/>
  <c r="BA33" i="37"/>
  <c r="BB33" i="37"/>
  <c r="BC33" i="37"/>
  <c r="BD33" i="37"/>
  <c r="B35" i="37"/>
  <c r="C34" i="37"/>
  <c r="F34" i="37"/>
  <c r="G34" i="37"/>
  <c r="D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AH34" i="37"/>
  <c r="AI34" i="37"/>
  <c r="AJ34" i="37"/>
  <c r="AK34" i="37"/>
  <c r="AL34" i="37"/>
  <c r="AM34" i="37"/>
  <c r="AN34" i="37"/>
  <c r="AO34" i="37"/>
  <c r="AP34" i="37"/>
  <c r="AQ34" i="37"/>
  <c r="AR34" i="37"/>
  <c r="AS34" i="37"/>
  <c r="AT34" i="37"/>
  <c r="AU34" i="37"/>
  <c r="AV34" i="37"/>
  <c r="AW34" i="37"/>
  <c r="AX34" i="37"/>
  <c r="AY34" i="37"/>
  <c r="AZ34" i="37"/>
  <c r="BA34" i="37"/>
  <c r="BB34" i="37"/>
  <c r="BC34" i="37"/>
  <c r="BD34" i="37"/>
  <c r="C35" i="37"/>
  <c r="F35" i="37"/>
  <c r="G35" i="37"/>
  <c r="B36" i="37"/>
  <c r="D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AH35" i="37"/>
  <c r="AI35" i="37"/>
  <c r="AJ35" i="37"/>
  <c r="AK35" i="37"/>
  <c r="AL35" i="37"/>
  <c r="AM35" i="37"/>
  <c r="AN35" i="37"/>
  <c r="AO35" i="37"/>
  <c r="AP35" i="37"/>
  <c r="AQ35" i="37"/>
  <c r="AR35" i="37"/>
  <c r="AS35" i="37"/>
  <c r="AT35" i="37"/>
  <c r="AU35" i="37"/>
  <c r="AV35" i="37"/>
  <c r="AW35" i="37"/>
  <c r="AX35" i="37"/>
  <c r="AY35" i="37"/>
  <c r="AZ35" i="37"/>
  <c r="BA35" i="37"/>
  <c r="BB35" i="37"/>
  <c r="BC35" i="37"/>
  <c r="BD35" i="37"/>
  <c r="B37" i="37"/>
  <c r="C36" i="37"/>
  <c r="F36" i="37"/>
  <c r="G36" i="37"/>
  <c r="C37" i="37"/>
  <c r="B38" i="37"/>
  <c r="D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J37" i="37"/>
  <c r="AK37" i="37"/>
  <c r="AL37" i="37"/>
  <c r="AM37" i="37"/>
  <c r="AN37" i="37"/>
  <c r="AO37" i="37"/>
  <c r="AP37" i="37"/>
  <c r="AQ37" i="37"/>
  <c r="AR37" i="37"/>
  <c r="AS37" i="37"/>
  <c r="AT37" i="37"/>
  <c r="AU37" i="37"/>
  <c r="AV37" i="37"/>
  <c r="AW37" i="37"/>
  <c r="AX37" i="37"/>
  <c r="AY37" i="37"/>
  <c r="AZ37" i="37"/>
  <c r="BA37" i="37"/>
  <c r="BB37" i="37"/>
  <c r="BC37" i="37"/>
  <c r="BD37" i="37"/>
  <c r="D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AH36" i="37"/>
  <c r="AI36" i="37"/>
  <c r="AJ36" i="37"/>
  <c r="AK36" i="37"/>
  <c r="AL36" i="37"/>
  <c r="AM36" i="37"/>
  <c r="AN36" i="37"/>
  <c r="AO36" i="37"/>
  <c r="AP36" i="37"/>
  <c r="AQ36" i="37"/>
  <c r="AR36" i="37"/>
  <c r="AS36" i="37"/>
  <c r="AT36" i="37"/>
  <c r="AU36" i="37"/>
  <c r="AV36" i="37"/>
  <c r="AW36" i="37"/>
  <c r="AX36" i="37"/>
  <c r="AY36" i="37"/>
  <c r="AZ36" i="37"/>
  <c r="BA36" i="37"/>
  <c r="BB36" i="37"/>
  <c r="BC36" i="37"/>
  <c r="BD36" i="37"/>
  <c r="C38" i="37"/>
  <c r="F38" i="37"/>
  <c r="G38" i="37"/>
  <c r="B39" i="37"/>
  <c r="D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T38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H38" i="37"/>
  <c r="AI38" i="37"/>
  <c r="AJ38" i="37"/>
  <c r="AK38" i="37"/>
  <c r="AL38" i="37"/>
  <c r="AM38" i="37"/>
  <c r="AN38" i="37"/>
  <c r="AO38" i="37"/>
  <c r="AP38" i="37"/>
  <c r="AQ38" i="37"/>
  <c r="AR38" i="37"/>
  <c r="AS38" i="37"/>
  <c r="AT38" i="37"/>
  <c r="AU38" i="37"/>
  <c r="AV38" i="37"/>
  <c r="AW38" i="37"/>
  <c r="AX38" i="37"/>
  <c r="AY38" i="37"/>
  <c r="AZ38" i="37"/>
  <c r="BA38" i="37"/>
  <c r="BB38" i="37"/>
  <c r="BC38" i="37"/>
  <c r="BD38" i="37"/>
  <c r="B40" i="37"/>
  <c r="C39" i="37"/>
  <c r="F39" i="37"/>
  <c r="G39" i="37"/>
  <c r="D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AR39" i="37"/>
  <c r="AS39" i="37"/>
  <c r="AT39" i="37"/>
  <c r="AU39" i="37"/>
  <c r="AV39" i="37"/>
  <c r="AW39" i="37"/>
  <c r="AX39" i="37"/>
  <c r="AY39" i="37"/>
  <c r="AZ39" i="37"/>
  <c r="BA39" i="37"/>
  <c r="BB39" i="37"/>
  <c r="BC39" i="37"/>
  <c r="BD39" i="37"/>
  <c r="C40" i="37"/>
  <c r="D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AS40" i="37"/>
  <c r="AT40" i="37"/>
  <c r="AU40" i="37"/>
  <c r="AV40" i="37"/>
  <c r="AW40" i="37"/>
  <c r="AX40" i="37"/>
  <c r="AY40" i="37"/>
  <c r="AZ40" i="37"/>
  <c r="BA40" i="37"/>
  <c r="BB40" i="37"/>
  <c r="BC40" i="37"/>
  <c r="BD40" i="37"/>
  <c r="B41" i="37"/>
  <c r="C41" i="37"/>
  <c r="F41" i="37"/>
  <c r="G41" i="37"/>
  <c r="B42" i="37"/>
  <c r="D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AH41" i="37"/>
  <c r="AI41" i="37"/>
  <c r="AJ41" i="37"/>
  <c r="AK41" i="37"/>
  <c r="AL41" i="37"/>
  <c r="AM41" i="37"/>
  <c r="AN41" i="37"/>
  <c r="AO41" i="37"/>
  <c r="AP41" i="37"/>
  <c r="AQ41" i="37"/>
  <c r="AR41" i="37"/>
  <c r="AS41" i="37"/>
  <c r="AT41" i="37"/>
  <c r="AU41" i="37"/>
  <c r="AV41" i="37"/>
  <c r="AW41" i="37"/>
  <c r="AX41" i="37"/>
  <c r="AY41" i="37"/>
  <c r="AZ41" i="37"/>
  <c r="BA41" i="37"/>
  <c r="BB41" i="37"/>
  <c r="BC41" i="37"/>
  <c r="BD41" i="37"/>
  <c r="C42" i="37"/>
  <c r="F42" i="37"/>
  <c r="G42" i="37"/>
  <c r="B43" i="37"/>
  <c r="D42" i="37"/>
  <c r="H42" i="37"/>
  <c r="I42" i="37"/>
  <c r="J42" i="37"/>
  <c r="K42" i="37"/>
  <c r="L42" i="37"/>
  <c r="M42" i="37"/>
  <c r="N42" i="37"/>
  <c r="O42" i="37"/>
  <c r="P42" i="37"/>
  <c r="Q42" i="37"/>
  <c r="R42" i="37"/>
  <c r="S42" i="37"/>
  <c r="T42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AH42" i="37"/>
  <c r="AI42" i="37"/>
  <c r="AJ42" i="37"/>
  <c r="AK42" i="37"/>
  <c r="AL42" i="37"/>
  <c r="AM42" i="37"/>
  <c r="AN42" i="37"/>
  <c r="AO42" i="37"/>
  <c r="AP42" i="37"/>
  <c r="AQ42" i="37"/>
  <c r="AR42" i="37"/>
  <c r="AS42" i="37"/>
  <c r="AT42" i="37"/>
  <c r="AU42" i="37"/>
  <c r="AV42" i="37"/>
  <c r="AW42" i="37"/>
  <c r="AX42" i="37"/>
  <c r="AY42" i="37"/>
  <c r="AZ42" i="37"/>
  <c r="BA42" i="37"/>
  <c r="BB42" i="37"/>
  <c r="BC42" i="37"/>
  <c r="BD42" i="37"/>
  <c r="B44" i="37"/>
  <c r="C43" i="37"/>
  <c r="D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AH43" i="37"/>
  <c r="AI43" i="37"/>
  <c r="AJ43" i="37"/>
  <c r="AK43" i="37"/>
  <c r="AL43" i="37"/>
  <c r="AM43" i="37"/>
  <c r="AN43" i="37"/>
  <c r="AO43" i="37"/>
  <c r="AP43" i="37"/>
  <c r="AQ43" i="37"/>
  <c r="AR43" i="37"/>
  <c r="AS43" i="37"/>
  <c r="AT43" i="37"/>
  <c r="AU43" i="37"/>
  <c r="AV43" i="37"/>
  <c r="AW43" i="37"/>
  <c r="AX43" i="37"/>
  <c r="AY43" i="37"/>
  <c r="AZ43" i="37"/>
  <c r="BA43" i="37"/>
  <c r="BB43" i="37"/>
  <c r="BC43" i="37"/>
  <c r="BD43" i="37"/>
  <c r="BL5" i="37"/>
  <c r="B45" i="37"/>
  <c r="C44" i="37"/>
  <c r="F44" i="37"/>
  <c r="G44" i="37"/>
  <c r="D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AH44" i="37"/>
  <c r="AI44" i="37"/>
  <c r="AJ44" i="37"/>
  <c r="AK44" i="37"/>
  <c r="AL44" i="37"/>
  <c r="AM44" i="37"/>
  <c r="AN44" i="37"/>
  <c r="AO44" i="37"/>
  <c r="AP44" i="37"/>
  <c r="AQ44" i="37"/>
  <c r="AR44" i="37"/>
  <c r="AS44" i="37"/>
  <c r="AT44" i="37"/>
  <c r="AU44" i="37"/>
  <c r="AV44" i="37"/>
  <c r="AW44" i="37"/>
  <c r="AX44" i="37"/>
  <c r="AY44" i="37"/>
  <c r="AZ44" i="37"/>
  <c r="BA44" i="37"/>
  <c r="BB44" i="37"/>
  <c r="BC44" i="37"/>
  <c r="BD44" i="37"/>
  <c r="BK5" i="37"/>
  <c r="B46" i="37"/>
  <c r="C45" i="37"/>
  <c r="F45" i="37"/>
  <c r="G45" i="37"/>
  <c r="D45" i="37"/>
  <c r="H45" i="37"/>
  <c r="I45" i="37"/>
  <c r="J45" i="37"/>
  <c r="C46" i="37"/>
  <c r="F46" i="37"/>
  <c r="G46" i="37"/>
  <c r="B47" i="37"/>
  <c r="D46" i="37"/>
  <c r="K45" i="37"/>
  <c r="L45" i="37"/>
  <c r="M45" i="37"/>
  <c r="N45" i="37"/>
  <c r="O45" i="37"/>
  <c r="P45" i="37"/>
  <c r="Q45" i="37"/>
  <c r="R45" i="37"/>
  <c r="S45" i="37"/>
  <c r="T45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AH45" i="37"/>
  <c r="AI45" i="37"/>
  <c r="AJ45" i="37"/>
  <c r="AK45" i="37"/>
  <c r="AL45" i="37"/>
  <c r="AM45" i="37"/>
  <c r="AN45" i="37"/>
  <c r="AO45" i="37"/>
  <c r="AP45" i="37"/>
  <c r="AQ45" i="37"/>
  <c r="AR45" i="37"/>
  <c r="AS45" i="37"/>
  <c r="AT45" i="37"/>
  <c r="AU45" i="37"/>
  <c r="AV45" i="37"/>
  <c r="AW45" i="37"/>
  <c r="AX45" i="37"/>
  <c r="AY45" i="37"/>
  <c r="AZ45" i="37"/>
  <c r="BA45" i="37"/>
  <c r="BB45" i="37"/>
  <c r="BC45" i="37"/>
  <c r="BD45" i="37"/>
  <c r="BJ5" i="37"/>
  <c r="H46" i="37"/>
  <c r="C47" i="37"/>
  <c r="F47" i="37"/>
  <c r="G47" i="37"/>
  <c r="B48" i="37"/>
  <c r="D47" i="37"/>
  <c r="H47" i="37"/>
  <c r="I47" i="37"/>
  <c r="I46" i="37"/>
  <c r="J46" i="37"/>
  <c r="K46" i="37"/>
  <c r="L46" i="37"/>
  <c r="M46" i="37"/>
  <c r="BH5" i="37"/>
  <c r="C48" i="37"/>
  <c r="D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AH48" i="37"/>
  <c r="AI48" i="37"/>
  <c r="AJ48" i="37"/>
  <c r="AK48" i="37"/>
  <c r="AL48" i="37"/>
  <c r="AM48" i="37"/>
  <c r="AN48" i="37"/>
  <c r="AO48" i="37"/>
  <c r="AP48" i="37"/>
  <c r="AQ48" i="37"/>
  <c r="AR48" i="37"/>
  <c r="AS48" i="37"/>
  <c r="AT48" i="37"/>
  <c r="AU48" i="37"/>
  <c r="AV48" i="37"/>
  <c r="AW48" i="37"/>
  <c r="AX48" i="37"/>
  <c r="AY48" i="37"/>
  <c r="AZ48" i="37"/>
  <c r="BA48" i="37"/>
  <c r="BB48" i="37"/>
  <c r="BC48" i="37"/>
  <c r="BD48" i="37"/>
  <c r="B49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AH47" i="37"/>
  <c r="AI47" i="37"/>
  <c r="AJ47" i="37"/>
  <c r="AK47" i="37"/>
  <c r="AL47" i="37"/>
  <c r="AM47" i="37"/>
  <c r="AN47" i="37"/>
  <c r="AO47" i="37"/>
  <c r="AP47" i="37"/>
  <c r="AQ47" i="37"/>
  <c r="AR47" i="37"/>
  <c r="AS47" i="37"/>
  <c r="AT47" i="37"/>
  <c r="AU47" i="37"/>
  <c r="AV47" i="37"/>
  <c r="AW47" i="37"/>
  <c r="AX47" i="37"/>
  <c r="AY47" i="37"/>
  <c r="AZ47" i="37"/>
  <c r="BA47" i="37"/>
  <c r="BB47" i="37"/>
  <c r="BC47" i="37"/>
  <c r="BD47" i="37"/>
  <c r="BI5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AH46" i="37"/>
  <c r="AI46" i="37"/>
  <c r="AJ46" i="37"/>
  <c r="AK46" i="37"/>
  <c r="AL46" i="37"/>
  <c r="AM46" i="37"/>
  <c r="AN46" i="37"/>
  <c r="AO46" i="37"/>
  <c r="AP46" i="37"/>
  <c r="AQ46" i="37"/>
  <c r="AR46" i="37"/>
  <c r="AS46" i="37"/>
  <c r="AT46" i="37"/>
  <c r="AU46" i="37"/>
  <c r="AV46" i="37"/>
  <c r="AW46" i="37"/>
  <c r="AX46" i="37"/>
  <c r="AY46" i="37"/>
  <c r="AZ46" i="37"/>
  <c r="BA46" i="37"/>
  <c r="BB46" i="37"/>
  <c r="BC46" i="37"/>
  <c r="BD46" i="37"/>
  <c r="BM5" i="37"/>
  <c r="B50" i="37"/>
  <c r="C49" i="37"/>
  <c r="D49" i="37"/>
  <c r="BI9" i="37"/>
  <c r="BJ8" i="37"/>
  <c r="BJ9" i="37"/>
  <c r="BK8" i="37"/>
  <c r="B51" i="37"/>
  <c r="C51" i="37"/>
  <c r="C50" i="37"/>
  <c r="F50" i="37"/>
  <c r="G50" i="37"/>
  <c r="H50" i="37"/>
  <c r="I50" i="37"/>
  <c r="J50" i="37"/>
  <c r="K50" i="37"/>
  <c r="L50" i="37"/>
  <c r="M50" i="37"/>
  <c r="N50" i="37"/>
  <c r="O50" i="37"/>
  <c r="P50" i="37"/>
  <c r="Q50" i="37"/>
  <c r="R50" i="37"/>
  <c r="S50" i="37"/>
  <c r="T50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AH50" i="37"/>
  <c r="AI50" i="37"/>
  <c r="AJ50" i="37"/>
  <c r="AK50" i="37"/>
  <c r="AL50" i="37"/>
  <c r="AM50" i="37"/>
  <c r="AN50" i="37"/>
  <c r="AO50" i="37"/>
  <c r="AP50" i="37"/>
  <c r="AQ50" i="37"/>
  <c r="AR50" i="37"/>
  <c r="AS50" i="37"/>
  <c r="AT50" i="37"/>
  <c r="AU50" i="37"/>
  <c r="AV50" i="37"/>
  <c r="AW50" i="37"/>
  <c r="AX50" i="37"/>
  <c r="AY50" i="37"/>
  <c r="AZ50" i="37"/>
  <c r="BA50" i="37"/>
  <c r="BB50" i="37"/>
  <c r="BC50" i="37"/>
  <c r="BD50" i="37"/>
  <c r="D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AH51" i="37"/>
  <c r="AI51" i="37"/>
  <c r="AJ51" i="37"/>
  <c r="AK51" i="37"/>
  <c r="AL51" i="37"/>
  <c r="AM51" i="37"/>
  <c r="AN51" i="37"/>
  <c r="AO51" i="37"/>
  <c r="AP51" i="37"/>
  <c r="AQ51" i="37"/>
  <c r="AR51" i="37"/>
  <c r="AS51" i="37"/>
  <c r="AT51" i="37"/>
  <c r="AU51" i="37"/>
  <c r="AV51" i="37"/>
  <c r="AW51" i="37"/>
  <c r="AX51" i="37"/>
  <c r="AY51" i="37"/>
  <c r="AZ51" i="37"/>
  <c r="BA51" i="37"/>
  <c r="BB51" i="37"/>
  <c r="BC51" i="37"/>
  <c r="BD51" i="37"/>
  <c r="G42" i="11"/>
  <c r="H43" i="11"/>
</calcChain>
</file>

<file path=xl/sharedStrings.xml><?xml version="1.0" encoding="utf-8"?>
<sst xmlns="http://schemas.openxmlformats.org/spreadsheetml/2006/main" count="1735" uniqueCount="878">
  <si>
    <t>%</t>
  </si>
  <si>
    <t>№</t>
  </si>
  <si>
    <t>Наименование работ</t>
  </si>
  <si>
    <t>Ед.изм.</t>
  </si>
  <si>
    <t>Стоимость</t>
  </si>
  <si>
    <t>Очистка фасада от старой краски ручным инструментом</t>
  </si>
  <si>
    <t>Гидроструйная очистка фасада</t>
  </si>
  <si>
    <t>Окраска откосов окон</t>
  </si>
  <si>
    <t>Окраска оконных рам</t>
  </si>
  <si>
    <t>Окраска лепнины</t>
  </si>
  <si>
    <t>Если в одной свеске 2 разных цвета</t>
  </si>
  <si>
    <t>Если в одной свеске 3 и более разных цветов</t>
  </si>
  <si>
    <t>м.п.</t>
  </si>
  <si>
    <t>1.1 ФАСАДНЫЕ РАБОТЫ</t>
  </si>
  <si>
    <t>1.2 РУСТЫ</t>
  </si>
  <si>
    <t>Демонтаж фанерной опалубки с торцов плит</t>
  </si>
  <si>
    <t>Вставка Вилатерма между кирпичной кладкой и плитой перекрытия</t>
  </si>
  <si>
    <t>Нанесение герметика поверх Вилатерма</t>
  </si>
  <si>
    <t>Штукатурка торцов плит</t>
  </si>
  <si>
    <t>Шпаклевание торцов плит</t>
  </si>
  <si>
    <t>Нанесение грунтовки глубокого проникновения</t>
  </si>
  <si>
    <t>Монтаж стартового профиля</t>
  </si>
  <si>
    <t>Приклеивание на клей плит пенопласта</t>
  </si>
  <si>
    <t>Приклеивание на клей плит минваты</t>
  </si>
  <si>
    <t>Защитный штукатурный слой армированный стеклосеткой</t>
  </si>
  <si>
    <t>Нанесение кварцевой грунтовки макловицей</t>
  </si>
  <si>
    <t>Декоративная штукатурка</t>
  </si>
  <si>
    <t>Нанесение фактурной краски валиком</t>
  </si>
  <si>
    <t>Укрывание отмостки, тротуаров и т.д.</t>
  </si>
  <si>
    <t>Укрывание крыльца из профнастила и др. твёрдых покрытий</t>
  </si>
  <si>
    <t>Укрывание крыльца из сотового поликарбоната</t>
  </si>
  <si>
    <t>Укрывание отливов окон</t>
  </si>
  <si>
    <t>Укрывание сплит-систем</t>
  </si>
  <si>
    <t>Укрывание водосточных труб</t>
  </si>
  <si>
    <t>Монтаж проушин на кровле для оттяжки</t>
  </si>
  <si>
    <t>шт.</t>
  </si>
  <si>
    <t>1.4 ПОДГОТОВКА</t>
  </si>
  <si>
    <t>Герметизация витражей(монтаж/демонтаж прижимной планки; замена герметизирующей ленты)</t>
  </si>
  <si>
    <t>Стоимость минимального заказа (без подсобника)</t>
  </si>
  <si>
    <t>заказ</t>
  </si>
  <si>
    <t>1.5 СТЕКЛОПАКЕТЫ</t>
  </si>
  <si>
    <t>1.6 БАННЕРА</t>
  </si>
  <si>
    <t>Монтаж вертикального или квадратного полотна:</t>
  </si>
  <si>
    <t>Монтаж горизонтального полотна:</t>
  </si>
  <si>
    <t>Монтаж ТРОСОВОЙ рамки</t>
  </si>
  <si>
    <t>Монтаж СТАЛЬНОЙ рамы</t>
  </si>
  <si>
    <t>Демонтаж полотна ( сколько брать % от стоимости монтажа):</t>
  </si>
  <si>
    <t>С СОХРАНЕНИЕМ целостности полотна</t>
  </si>
  <si>
    <t>БЕЗ СОХРАНЕНИЯ целостности полотна</t>
  </si>
  <si>
    <t>Стоимость минимального заказа:</t>
  </si>
  <si>
    <t>на МОНТАЖ</t>
  </si>
  <si>
    <t>на ДЕМОНТАЖ</t>
  </si>
  <si>
    <t>1.7 НАПЛАВЛЯЕМАЯ РУЛОННАЯ КРОВЛЯ</t>
  </si>
  <si>
    <t>Монтаж наплавляемой кровли в ОДИН слой</t>
  </si>
  <si>
    <t>Монтаж наплавляемой кровли в ДВА слоя</t>
  </si>
  <si>
    <t>Монтаж наплавляемой кровли в ТРИ слоя</t>
  </si>
  <si>
    <t>Монтаж примыкания кровельного ковра к стенам и парапетам</t>
  </si>
  <si>
    <t>Монтаж парапетных фартуков</t>
  </si>
  <si>
    <t>Монтаж аэраторов для наплавляемой "дышащей" кровли</t>
  </si>
  <si>
    <t>Нанесение праймера</t>
  </si>
  <si>
    <t>Разборка старых слоёв битумной кровли</t>
  </si>
  <si>
    <t xml:space="preserve">Монтаж металлических ограждений </t>
  </si>
  <si>
    <t>Примыкание к точечным элементам (трубы, стойки, антенны)</t>
  </si>
  <si>
    <t>Устройство горизонтальной прорези алмазным диском в стене</t>
  </si>
  <si>
    <t>Монтаж отлива с погружением в прорезь с герметиком</t>
  </si>
  <si>
    <t>Монтаж наплавляемой кровли на козырьках балконов последних этажей</t>
  </si>
  <si>
    <t>Монтаж мауэрлата</t>
  </si>
  <si>
    <t>Монтаж конькового прогона</t>
  </si>
  <si>
    <t>Монтаж стропильных ног</t>
  </si>
  <si>
    <t>Монтаж ветро-влагозащитной мембраны</t>
  </si>
  <si>
    <t>Устройство шаговой обрешётки</t>
  </si>
  <si>
    <t>Устройство сплошного настила из OSB-плит</t>
  </si>
  <si>
    <t>Монтаж аэраторов и вентиляционных труб</t>
  </si>
  <si>
    <t>Монтаж дымовой трубы</t>
  </si>
  <si>
    <t>Монтаж зенитного фонаря</t>
  </si>
  <si>
    <t>Монтаж мансардного окна</t>
  </si>
  <si>
    <t>Монтаж подкровельного ковра под гибкую черепицу</t>
  </si>
  <si>
    <t>Монтаж гибкой черепицы</t>
  </si>
  <si>
    <t>Монтаж настила из металлопрофиля</t>
  </si>
  <si>
    <t>Монтаж настила из металлочерепицы</t>
  </si>
  <si>
    <t>Монтаж водосточной трубы</t>
  </si>
  <si>
    <t>Монтаж дополнительного колена водосточной трубы</t>
  </si>
  <si>
    <t>Прокладка греющего кабеля</t>
  </si>
  <si>
    <t>Монтаж пароизоляционной плёнки с проклейкой всех стыков</t>
  </si>
  <si>
    <t>Монтаж утеплителя между стропилами</t>
  </si>
  <si>
    <t>УКЛОН</t>
  </si>
  <si>
    <t>до 30 град.</t>
  </si>
  <si>
    <t>Обработка пиломатериала огнебиозащитой (1 слой)</t>
  </si>
  <si>
    <t>1.9 СТРОИТЕЛЬНЫЕ ЛЕСА и ЗАЩИТНЫЕ СЕТКИ</t>
  </si>
  <si>
    <t>Монтаж защитной сетки на строительные леса</t>
  </si>
  <si>
    <t>Демонтаж защитной сетки со строительных лесов</t>
  </si>
  <si>
    <t>Монтаж ЗУС</t>
  </si>
  <si>
    <t>Демонтаж ЗУС</t>
  </si>
  <si>
    <t>Монтаж строительного мусоропровода</t>
  </si>
  <si>
    <t>Демонтаж строительного мусоропровода</t>
  </si>
  <si>
    <t>Средняя цена за весь пирог утепления</t>
  </si>
  <si>
    <t>Демонтаж молдинга</t>
  </si>
  <si>
    <t>Примечание:</t>
  </si>
  <si>
    <t>"лёгкий" молдинг - изделие без покрытия</t>
  </si>
  <si>
    <t>"тяжёлый" молдинг - изделие с готовым покрытием</t>
  </si>
  <si>
    <t>1.10 МОЛДИНГИ</t>
  </si>
  <si>
    <t>Монтаж "лёгкого" молдинга (элемент длинной 1м) на клей-пену</t>
  </si>
  <si>
    <t>Монтаж "лёгкого" молдинга (элемент длинной 2м) на клей-пену</t>
  </si>
  <si>
    <t>Монтаж "тяжёлого" молдинга (элемент длинной 1м) на тарельчатые дюбеля (грибки)</t>
  </si>
  <si>
    <t>Монтаж "тяжёлого" молдинга (элемент длинной 2м) на тарельчатые дюбеля (грибки)</t>
  </si>
  <si>
    <t>***Стоимость работ указана "ПОД КЛЮЧ"</t>
  </si>
  <si>
    <t>2.1 ВЕНТФАСАДЫ (керамогранит и композит)</t>
  </si>
  <si>
    <t>КЕРАМОГРАНИТ</t>
  </si>
  <si>
    <t>Монтаж подсистемы</t>
  </si>
  <si>
    <t>Монтаж утеплителя</t>
  </si>
  <si>
    <t>Монтаж утеплителя с ветрозащитной мембраной</t>
  </si>
  <si>
    <t>Монтаж керамогранита</t>
  </si>
  <si>
    <t>Демонтаж керамогранита</t>
  </si>
  <si>
    <t>Монтаж откосов из керамогранита с подсистемой</t>
  </si>
  <si>
    <t>Резка керамогранита</t>
  </si>
  <si>
    <t>Резка Г-образного элемента из керамогранита "сапожок"</t>
  </si>
  <si>
    <t>Вырезание отверстия в керамограните под кронштейн</t>
  </si>
  <si>
    <t>Монтаж откосов из жестянки</t>
  </si>
  <si>
    <t>Монтаж П-образных колпаков на парапеты балконов из жестянки</t>
  </si>
  <si>
    <t>КОМПОЗИТ</t>
  </si>
  <si>
    <t>Монтаж композита</t>
  </si>
  <si>
    <t>Демонтаж композита</t>
  </si>
  <si>
    <t>Вырезание отверстия в композите под кронштейн</t>
  </si>
  <si>
    <t>Изготовление заготовок композита (фрезеровка)</t>
  </si>
  <si>
    <t>Сборка кассет из композита</t>
  </si>
  <si>
    <t>Изготовление изделия из композита шириной до 400мм</t>
  </si>
  <si>
    <t>Сборка изделия из композита шириной до 400мм</t>
  </si>
  <si>
    <t>Монтаж изделия из композита шириной до 400мм</t>
  </si>
  <si>
    <t>Многоквартирные дома, промышленные здания...</t>
  </si>
  <si>
    <t>Частный сектор...</t>
  </si>
  <si>
    <t>................................................................................</t>
  </si>
  <si>
    <t>Очистка желобов от листвы и ила</t>
  </si>
  <si>
    <t>Очистка водосточных воронок</t>
  </si>
  <si>
    <t>Прочистка водосточной трубы тросом и другими приспособлениями ( без разбора водосточной трубы)</t>
  </si>
  <si>
    <t>Минимальный заказ по  данным видам работ</t>
  </si>
  <si>
    <t>***</t>
  </si>
  <si>
    <t>При составлении СМЕТЫ по прочистке засора целесообразно считать полную длину трубы, так как невозможно заранее определить длину засора...</t>
  </si>
  <si>
    <t>!!!</t>
  </si>
  <si>
    <t>Разобрать и собрать водосточную трубу в целях прочистки в ней засора</t>
  </si>
  <si>
    <t>Локальный монтаж молдинга (часто улетают молдинги и нужно закрыть пустые места)</t>
  </si>
  <si>
    <t>ПОДЪЁМ грузов</t>
  </si>
  <si>
    <t>кг</t>
  </si>
  <si>
    <t>Стоимость минимального заказа по подъёму груза</t>
  </si>
  <si>
    <t>СПУСК грузов</t>
  </si>
  <si>
    <t>Стоимость минимального заказа по спуску груза</t>
  </si>
  <si>
    <t>км</t>
  </si>
  <si>
    <t>ДОПОЛНИТЕЛЬНО...</t>
  </si>
  <si>
    <t>2.3 ТАКЕЛАЖНЫЕ РАБОТЫ</t>
  </si>
  <si>
    <t>Сколько добавить % за сложную подачу груза в окно, на балкон, горизонтальное перемещение в пространстве</t>
  </si>
  <si>
    <t>Сколько добавить % за сложную подачу груза из окна, из балкона, горизонтальное перемещение в пространстве</t>
  </si>
  <si>
    <t xml:space="preserve">ТРАНСПОРТНЫЕ РАСХОДЫ {общий километраж ТУДА и ОБРАТНО} </t>
  </si>
  <si>
    <t>2.4 СЭНДВИЧ-ПАНЕЛИ</t>
  </si>
  <si>
    <t>РАСКЛАДКА</t>
  </si>
  <si>
    <t>Монтаж КРОВЕЛЬНЫХ сэндвич-панелей</t>
  </si>
  <si>
    <t>до 1000 кв.м.</t>
  </si>
  <si>
    <t>от 1000 кв.м.</t>
  </si>
  <si>
    <t>Снятие НЕПРИКИПЕВШЕЙ защитной плёнки со смонтированных панелей (снимается несложно)</t>
  </si>
  <si>
    <t>МОНТАЖ сэндвич-панелей толщиной 50мм</t>
  </si>
  <si>
    <t>МОНТАЖ сэндвич-панелей толщиной 80мм</t>
  </si>
  <si>
    <t>МОНТАЖ сэндвич-панелей толщиной 100мм</t>
  </si>
  <si>
    <t>МОНТАЖ сэндвич-панелей толщиной 120мм</t>
  </si>
  <si>
    <t>МОНТАЖ сэндвич-панелей толщиной 150мм</t>
  </si>
  <si>
    <t>МОНТАЖ сэндвич-панелей толщиной 180мм</t>
  </si>
  <si>
    <t>МОНТАЖ сэндвич-панелей толщиной 200мм</t>
  </si>
  <si>
    <t>МОНТАЖ сэндвич-панелей толщиной 250мм</t>
  </si>
  <si>
    <t>Демонтаж фасонных элементов</t>
  </si>
  <si>
    <t>ГОРИЗОНТАЛЬНАЯ</t>
  </si>
  <si>
    <t>ВЕРТИКАЛЬНАЯ</t>
  </si>
  <si>
    <t>Снятие ПРИКИПЕВШЕЙ защитной плёнки со смонтированных панелей    (!!ТРУДНАЯ ЗАДАЧА!!)</t>
  </si>
  <si>
    <t>ДЕМОНТАЖ СЭНДВИЧ-ПАНЕЛЕЙ</t>
  </si>
  <si>
    <t>2.5 ГЕРМЕТИЗАЦИЯ межпанельных швов, балконов, окон</t>
  </si>
  <si>
    <t>Закладывание в шов упора из пороизола, смоляного каната, гернита и т.д.</t>
  </si>
  <si>
    <t>Заполнение нетвердеющей мастикой шва при помощи пневмошприца</t>
  </si>
  <si>
    <t>Нанесение герметика поверх оштукатуренного шва</t>
  </si>
  <si>
    <t>ОДНОКОМПОНЕНТНЫЙ ГЕРМЕТИК</t>
  </si>
  <si>
    <t>Нанесение герметика поверх оштукатуренного шва с использованием строительного бинта</t>
  </si>
  <si>
    <t>Закладывание Вилатерма в шов + заполнение герметиком</t>
  </si>
  <si>
    <t>Заполнение пеной + Вилатерм + герметик</t>
  </si>
  <si>
    <t>Удаление старого герметика</t>
  </si>
  <si>
    <t>ДВУХКОМПОНЕНТНЫЙ ГЕРМЕТИК</t>
  </si>
  <si>
    <t>Герметизация оконного блока</t>
  </si>
  <si>
    <t>Герметизация козырьков на балконах и лоджиях</t>
  </si>
  <si>
    <t>при длине 100-300 м.п.</t>
  </si>
  <si>
    <t>при длине 300-1000 м.п.</t>
  </si>
  <si>
    <t>при длине до 100 м.п.</t>
  </si>
  <si>
    <t xml:space="preserve">при длине более 1000 м.п </t>
  </si>
  <si>
    <t>Расценки указаны без стоимости материалов</t>
  </si>
  <si>
    <t>будни</t>
  </si>
  <si>
    <t>ночь</t>
  </si>
  <si>
    <t>срочный заказ</t>
  </si>
  <si>
    <t>Простой по вине заказчика</t>
  </si>
  <si>
    <t>Ложный выезд по вине заказчика</t>
  </si>
  <si>
    <t>Транспортные расходы (считать ТУДА И ОБРАТНО)</t>
  </si>
  <si>
    <t>ставка</t>
  </si>
  <si>
    <t>*</t>
  </si>
  <si>
    <t>Стоимость одного человека-часа (считается при длительности заказа более 4-х часов)</t>
  </si>
  <si>
    <t>Зачистка поверхности ручным способом (скребки, щётки и т.д.)</t>
  </si>
  <si>
    <t>Зачистка поверхности механическим способом (УШМ, ПШМ и др.)</t>
  </si>
  <si>
    <t>Гидроструйная очистка поверхности</t>
  </si>
  <si>
    <t>Обеспыливание сухим сжатым воздухом</t>
  </si>
  <si>
    <t>Обезжиривание поверхности органическими растворителями</t>
  </si>
  <si>
    <t>Нанесение кистью химической смывки и удаление шпателем продуктов реакции</t>
  </si>
  <si>
    <t>Нанесение ОДНОГО слоя ЛКМ безвоздушным способом</t>
  </si>
  <si>
    <t>Нанесение ОДНОГО слоя ЛКМ кистью, валиком</t>
  </si>
  <si>
    <t>"солома"</t>
  </si>
  <si>
    <t>широкие детали</t>
  </si>
  <si>
    <t>&gt;1000кв.м.</t>
  </si>
  <si>
    <t>&lt;1000кв.м.</t>
  </si>
  <si>
    <t>2.8 МАРКИРОВОЧНАЯ ПОКРАСКА</t>
  </si>
  <si>
    <t>метр высоты</t>
  </si>
  <si>
    <t>ВЫСОТА БАШНИ</t>
  </si>
  <si>
    <t>до 50м</t>
  </si>
  <si>
    <t>50-90м</t>
  </si>
  <si>
    <t>90-150м</t>
  </si>
  <si>
    <t>150м и выше</t>
  </si>
  <si>
    <t xml:space="preserve">Покраска мачты </t>
  </si>
  <si>
    <t>ДИАМЕТР МАЧТЫ</t>
  </si>
  <si>
    <t>до 1м</t>
  </si>
  <si>
    <t>1-3м</t>
  </si>
  <si>
    <t>3-5м</t>
  </si>
  <si>
    <t>5м и более</t>
  </si>
  <si>
    <t>ДИАМЕТР котельной  стальной трубы</t>
  </si>
  <si>
    <t>до 400мм</t>
  </si>
  <si>
    <t>Покраска площадки на дымовой трубе</t>
  </si>
  <si>
    <t>Покраска ОТТЯЖЕК на дымовой трубе</t>
  </si>
  <si>
    <t>МАЧТА всегда с постоянной шириной до самой верхушки</t>
  </si>
  <si>
    <t>БАШНЯ сужается к верхушке</t>
  </si>
  <si>
    <t>400-800 мм</t>
  </si>
  <si>
    <t>800-1400 мм</t>
  </si>
  <si>
    <t xml:space="preserve">1400 мм и более </t>
  </si>
  <si>
    <t xml:space="preserve">Покраска ТРЁХГРАННОЙ башни связи </t>
  </si>
  <si>
    <t>Покраска ЧЕТЫРЁХГРАННОЙ башни связи</t>
  </si>
  <si>
    <t>1.1 Фасадные работы</t>
  </si>
  <si>
    <t>1.2 Русты</t>
  </si>
  <si>
    <t>1.4 Подготовка</t>
  </si>
  <si>
    <t>1.5 Стеклопакеты</t>
  </si>
  <si>
    <t>1.6 Баннера</t>
  </si>
  <si>
    <t>1.7 Наплавляемая кровля</t>
  </si>
  <si>
    <t>1.8 Кровельный пирог</t>
  </si>
  <si>
    <t>1.9 Леса и сетки</t>
  </si>
  <si>
    <t>1.10 Молдинги</t>
  </si>
  <si>
    <t>2.1 Вентфасады</t>
  </si>
  <si>
    <t>2.3 Такелажные работы</t>
  </si>
  <si>
    <t>2.4 Сэндвич-панели</t>
  </si>
  <si>
    <t>2.5 Герметизация м/п швов</t>
  </si>
  <si>
    <t>2.7 АКЗ</t>
  </si>
  <si>
    <t>2.8 Маркировочная покраска</t>
  </si>
  <si>
    <t>2.9 Очистка фасада от различных загрязнений</t>
  </si>
  <si>
    <t>2.9 ОЧИСТКА ФАСАДА от различных загрязнений</t>
  </si>
  <si>
    <t>Очистка фасада от ВЫСОЛОВ на кирпиче, камне, плитке химическими препаратами</t>
  </si>
  <si>
    <t>Абразивная очистка от ЦЕМЕНТА, БЕТОНА, САЖИ, ГАРИ механической чисткой (шкурение, шлифование)</t>
  </si>
  <si>
    <t>Пескоструйная очистка фасада от тяжёлых загрязнений (аренда пескоструя, компрессора и стоимость абразива считаются отдельно)</t>
  </si>
  <si>
    <t>Гидрофобизация фасада с эффектом "мокрый камень" (1 слой)</t>
  </si>
  <si>
    <t>Чистка фасада от РАСТВОРА, ЦЕМЕНТНОГО МОЛОЧКА на кирпиче, камне, плитке химическими препаратами</t>
  </si>
  <si>
    <t>Рубка выпирающих частей монолитного пояса</t>
  </si>
  <si>
    <t xml:space="preserve">Пункт 6... Считается общая длина межкирпичных пустых швов. </t>
  </si>
  <si>
    <t>2.10 Пескоструйная очистка резервуаров (Sa 2,5)</t>
  </si>
  <si>
    <t>Пескоструйная очистка резервуара КУПЕРШЛАКОМ (Sa 2,5)</t>
  </si>
  <si>
    <t>Пескоструйная очистка резервуара ПЕСКОМ (Sa 2,5)</t>
  </si>
  <si>
    <t>НОВЫЕ резервуары</t>
  </si>
  <si>
    <t>СТАРЫЕ резервуары</t>
  </si>
  <si>
    <t>СНАРУЖИ</t>
  </si>
  <si>
    <t>ВНУТРИ</t>
  </si>
  <si>
    <t>Вынос песка из резервуара</t>
  </si>
  <si>
    <t>тонна</t>
  </si>
  <si>
    <t>2.11 Пескоструйная очистка металла и другое</t>
  </si>
  <si>
    <t>Пескоструйная очистка НОВЫХ металлоконструкций</t>
  </si>
  <si>
    <t>Пескоструйная очистка СТАРЫХ металлоконструкций</t>
  </si>
  <si>
    <t>Sa 1,5</t>
  </si>
  <si>
    <t>Sa 2</t>
  </si>
  <si>
    <t>Sa2,5</t>
  </si>
  <si>
    <t>Степень очистки</t>
  </si>
  <si>
    <t>10-20 метров</t>
  </si>
  <si>
    <t>20-30 метров</t>
  </si>
  <si>
    <t>более 30 метров</t>
  </si>
  <si>
    <t>Дополнительно</t>
  </si>
  <si>
    <t>Пескоструйная очистка бетонной поверхности</t>
  </si>
  <si>
    <t>Пескоструйная очистка кованных изделий</t>
  </si>
  <si>
    <t>Уборка территории от песка</t>
  </si>
  <si>
    <t>СКИДКА при объёмах:</t>
  </si>
  <si>
    <t>более 10000 кв.м.</t>
  </si>
  <si>
    <t>5000-10000 кв.м.</t>
  </si>
  <si>
    <t>2.11 Пескоструйная очистка металлоконструкций</t>
  </si>
  <si>
    <t>При пескоструйной очистке "соломы" (уголки, профтруба и т.д.)</t>
  </si>
  <si>
    <t>При выполнении пескоструйных работ на высоте:</t>
  </si>
  <si>
    <t>Деформационные шов</t>
  </si>
  <si>
    <t>Монтаж внутренних П-образных элементов (служат для опоры утеплителя)</t>
  </si>
  <si>
    <t>Заполнение деформационного шва минеральной ватой</t>
  </si>
  <si>
    <t>Монтаж наружного элемента деформационного шва</t>
  </si>
  <si>
    <t>МОЛНИЕОТВОДЫ</t>
  </si>
  <si>
    <t>Монтаж ВЕРТИКАЛЬНОГО молниеотвода по фасаду (сваривается из отдельных хлыстов)</t>
  </si>
  <si>
    <t>Монтаж ВЕРТИКАЛЬНОГО молниеотвода по фасаду (цельный из проволоки катанки, требует натяжения лебёдкой для распрямления)</t>
  </si>
  <si>
    <t>Монтаж ГОРИЗОНТАЛЬНОГО молниеотвода по фасаду (сваривается из отдельных хлыстов)</t>
  </si>
  <si>
    <t>Монтаж молниеприёмной сетки для плоской кровли (могут выполнять НЕ альпинисты)</t>
  </si>
  <si>
    <t>Монтаж тросового молниеприёмника (делается вдоль конька крыши)</t>
  </si>
  <si>
    <t>ШИРИНА ШВА</t>
  </si>
  <si>
    <t>ГЛУБИНА ЗАПОЛНЕНИЯ минеральной ватой</t>
  </si>
  <si>
    <t>мм</t>
  </si>
  <si>
    <t xml:space="preserve">Расчёт стоимости 1-го погонного метра заполнения  минватой </t>
  </si>
  <si>
    <t>3.1 Деформационный шов; молниеотводы</t>
  </si>
  <si>
    <t>Введите в оранжевые ячейки ширину минваты и глубину. ВНИМАНИЕ: значения вводите  в миллиметрах...</t>
  </si>
  <si>
    <t>3.1 Деформационные шов и молниеотводы</t>
  </si>
  <si>
    <t>назад к содержанию</t>
  </si>
  <si>
    <t>1.8 КРОВЕЛЬНЫЙ ПИРОГ   и   водосточная система</t>
  </si>
  <si>
    <t>СОДЕРЖАНИЕ</t>
  </si>
  <si>
    <t>3.2 Кондиционеры</t>
  </si>
  <si>
    <t>Модель 07,09</t>
  </si>
  <si>
    <t>Модель 12</t>
  </si>
  <si>
    <t>Модель 18</t>
  </si>
  <si>
    <t>Модель 24</t>
  </si>
  <si>
    <t>ПОДГОТОВКА (считается отдельно от базового монтажа наружного блока)</t>
  </si>
  <si>
    <t>Демонтаж одной плитки керамогранита</t>
  </si>
  <si>
    <t>Монтаж одной плитки керамогранита</t>
  </si>
  <si>
    <t>Вырезание утеплителя "мокрого фасада" под кронштейн</t>
  </si>
  <si>
    <t>Заделка отверстия под труботрассу</t>
  </si>
  <si>
    <t>Замена трубчатого утеплителя труботрассы</t>
  </si>
  <si>
    <t>Дополнительные работы</t>
  </si>
  <si>
    <t>ДЕМОНТАЖНЫЕ РАБОТЫ</t>
  </si>
  <si>
    <t>3.2 КОНДИЦИОНЕРЫ</t>
  </si>
  <si>
    <t>МОНТАЖ НАРУЖНОГО БЛОКА (включает монтаж кронштейнов, развальцовку, установку блока, подсоединение и запуск)</t>
  </si>
  <si>
    <t>Простое вывешивание (плоская кровля)</t>
  </si>
  <si>
    <t>Сложное вывешивание (скатная кровля и другие сложности)</t>
  </si>
  <si>
    <t>свеска</t>
  </si>
  <si>
    <t>Пункт 5 и 6 считаются при нестандартных локальных работах</t>
  </si>
  <si>
    <t>3.3 Демонтаж дымовых труб</t>
  </si>
  <si>
    <t>3.3 ДЕМОНТАЖ ДЫМОВЫХ ТРУБ</t>
  </si>
  <si>
    <t>!</t>
  </si>
  <si>
    <t>Высота ствола</t>
  </si>
  <si>
    <t>Диаметр верхней части ствола</t>
  </si>
  <si>
    <t>Диаметр нижней части ствола</t>
  </si>
  <si>
    <t>СУММА</t>
  </si>
  <si>
    <t>ОБЪЁМ (куб.м.)</t>
  </si>
  <si>
    <t>СУММА (руб.)</t>
  </si>
  <si>
    <t>Толщина стенки в ВЕРХНЕЙ части ствола вместе с футеровкой</t>
  </si>
  <si>
    <t>Толщина стенки в НИЖНЕЙ части ствола вместе с футеровкой</t>
  </si>
  <si>
    <t>метр</t>
  </si>
  <si>
    <t>ВВЕДИТЕ ДАННЫЕ в жёлтые ячейки</t>
  </si>
  <si>
    <t>Наименование</t>
  </si>
  <si>
    <t>Высота трубы</t>
  </si>
  <si>
    <t>Диаметр трубы</t>
  </si>
  <si>
    <t>руб.</t>
  </si>
  <si>
    <t>3.4 Защита склонов от осыпей</t>
  </si>
  <si>
    <t>3.4 ЗАЩИТА СКЛОНОВ ОТ ОСЫПЕЙ</t>
  </si>
  <si>
    <t>Оборка склонов от нависших глыб и породы, а также кустарников и деревьев диаметром до 80мм</t>
  </si>
  <si>
    <t>Тросово-сетчатая анкерная система</t>
  </si>
  <si>
    <t>Прокладка, устройство и крепление стального троса к анкерам</t>
  </si>
  <si>
    <t>Раскладка и крепление первого слоя сетки к тросу при помощи зажимов</t>
  </si>
  <si>
    <t>Раскладка и крепление второго слоя сетки к тросу при помощи зажимов</t>
  </si>
  <si>
    <t>Сшивание стыков сеток внахлёст вязальной проволокой</t>
  </si>
  <si>
    <t>Обойти сеткой дерево на склоне</t>
  </si>
  <si>
    <t>до 45 градусов</t>
  </si>
  <si>
    <t>60-75 градусов</t>
  </si>
  <si>
    <t>75-90 градусов</t>
  </si>
  <si>
    <t>45-60 градусов</t>
  </si>
  <si>
    <t>Уклон</t>
  </si>
  <si>
    <t>3.5 Огнезащита</t>
  </si>
  <si>
    <t>Нанесение одного слоя огнезащитной краски при помощи аппарата безвоздушного распыления</t>
  </si>
  <si>
    <t>Нанесение одного слоя огнезащитной краски при помощи кистей, валиков</t>
  </si>
  <si>
    <t>Нанесение одного слоя огнезащитной штукатурки методом торкретирования</t>
  </si>
  <si>
    <t>Нанесение одного слоя огнезащитных паст и мастик</t>
  </si>
  <si>
    <t>Обёртывание конструкций огнезащитными матами</t>
  </si>
  <si>
    <t>0,6мм (15мин) R15</t>
  </si>
  <si>
    <t>0,8мм (30мин) R30</t>
  </si>
  <si>
    <t>1мм (45мин) R45</t>
  </si>
  <si>
    <t>1,3мм (60мин) R60</t>
  </si>
  <si>
    <t>1,7мм (90мин) R90</t>
  </si>
  <si>
    <t>2,5мм (120мин)  R120</t>
  </si>
  <si>
    <t>3,1мм (150мин) R150</t>
  </si>
  <si>
    <t>Огнезащитная краска по степени огнезащитной эффективности (при помощи безвоздушного распыления):</t>
  </si>
  <si>
    <t>Правильный расчёт будет по количеству слоёв, так как разные материалы имеют разную максимальную толщину за один слой нанесения (200-1000мкр)</t>
  </si>
  <si>
    <t>3.6 Клининг</t>
  </si>
  <si>
    <t>до 1000 кв.м</t>
  </si>
  <si>
    <t>1000-3000 кв.м</t>
  </si>
  <si>
    <t>3000-5000 кв.м</t>
  </si>
  <si>
    <t>свыше 5000 кв.м</t>
  </si>
  <si>
    <t>Стоимость в зависимости от площади</t>
  </si>
  <si>
    <t>Водный камень (1.кислота, 2.щёлочь, 3.склизы)</t>
  </si>
  <si>
    <t>Сплошная мойка остекления повышенной степени загрязнения</t>
  </si>
  <si>
    <t>Выборочная мойка остекления повышенной степени загрязнения</t>
  </si>
  <si>
    <t>Сплошная сезонная мойка остекления (атмосферные загрязнения)</t>
  </si>
  <si>
    <t>Выборочная сезонная мойка остекления (атмосферные загрязнения)</t>
  </si>
  <si>
    <t>Мойка остекления с применением аппаратов высокого давления (АВД)  БЕЗ применения химии</t>
  </si>
  <si>
    <t>Мойка остекления с применением аппаратов высокого давления (АВД)  С применением химии</t>
  </si>
  <si>
    <t>Мойка фасадов из керамогранита</t>
  </si>
  <si>
    <t>Мойка фасадов из композита</t>
  </si>
  <si>
    <t>Мойка фасадов из керамогранита с применением АВД</t>
  </si>
  <si>
    <t>Мойка фасадов из композита с применением АВД</t>
  </si>
  <si>
    <t>Мойка балконов, лоджий</t>
  </si>
  <si>
    <t>Мойка зенитных фонарей, зимних садов, атриумов ИЗНУТРИ</t>
  </si>
  <si>
    <t>Мойка зенитных фонарей, зимних садов, атриумов СНАРУЖИ</t>
  </si>
  <si>
    <t>ВЛАЖНАЯ ОЧИСТКА металлоконструкций, воздуховодов</t>
  </si>
  <si>
    <t>ОБЕСПЫЛИВАНИЕ металлоконструкций, воздуховодов</t>
  </si>
  <si>
    <t>При мойке остекления в отрицательной плоскости применяется увеличивающий коэффициент (умножить на него базовую расценку)</t>
  </si>
  <si>
    <t>Указывается только стоимость выполнения работ; химия считается отдельно</t>
  </si>
  <si>
    <t>Стоимость по всем видам работ подразумевается, что перед расценкой есть приставка ОТ</t>
  </si>
  <si>
    <t>3.7 УДАЛЕНИЕ ДЕРЕВЬЕВ</t>
  </si>
  <si>
    <t>Диаметр ствола на высоте 1,3м от земли (см)</t>
  </si>
  <si>
    <t>БЕЗ подвязывания частей</t>
  </si>
  <si>
    <t>ЧАСТИЧНОЕ подвязывание частей</t>
  </si>
  <si>
    <t>ПОЛНОЕ подвязывание частей</t>
  </si>
  <si>
    <t>ПОЛНОЕ подвязывание частей с использованием оттяжек и др.</t>
  </si>
  <si>
    <t>Степень сложности спиливаемого дерева</t>
  </si>
  <si>
    <t>Вычисление диаметра ствола из окружности (замеряется на высоте 1,3 м от земли гибкой рулеткой)</t>
  </si>
  <si>
    <t>Округлённый диаметр, см</t>
  </si>
  <si>
    <t>Стоимость минимального заказа</t>
  </si>
  <si>
    <t>Диаметр, см</t>
  </si>
  <si>
    <t>Коэффициент сложности</t>
  </si>
  <si>
    <t>Введите окружность ствола дерева в сантиметрах</t>
  </si>
  <si>
    <t>без подвязки частей</t>
  </si>
  <si>
    <t>частичная подвязка</t>
  </si>
  <si>
    <t>полная подвязка</t>
  </si>
  <si>
    <t>полная подвязка с оттяжками</t>
  </si>
  <si>
    <t>Программа по расчёту минимальной стоимости:</t>
  </si>
  <si>
    <t>* Наведите на ячейку ДИАМЕТР и выберите значение, потом выберите КОЭФФИЦИЕНТ СЛОЖНОСТИ из выпадающего списка..</t>
  </si>
  <si>
    <t>Расчётная стоимость автоматически округляется для удобства...</t>
  </si>
  <si>
    <t>3.7 Деревья</t>
  </si>
  <si>
    <t>3.8 Буквы</t>
  </si>
  <si>
    <t>3.9 Воздуховоды</t>
  </si>
  <si>
    <t>3.9 МОНТАЖ ВОЗДУХОВОДОВ</t>
  </si>
  <si>
    <t>Монтаж фасонного элемента (угол, разветвление и др.)</t>
  </si>
  <si>
    <t>Монтаж воздуховодов под потолком ГОРИЗОНТАЛЬНО (***)</t>
  </si>
  <si>
    <t>Монтаж воздуховодов в шахте (***)</t>
  </si>
  <si>
    <t>Монтаж воздуховодов с толщиной стенки более 2мм (***)</t>
  </si>
  <si>
    <t>Монтаж фиксирующей сетки на вертикальный воздуховод</t>
  </si>
  <si>
    <t>Монтаж фиксирующей сетки на горизонтальный воздуховод</t>
  </si>
  <si>
    <t>Монтаж шпильки к потолку из промышленного профиля при помощи V-образного элемента ("ласточкин хвост ") {работа сложная}</t>
  </si>
  <si>
    <t>Монтаж шпильки к бетонному потолку</t>
  </si>
  <si>
    <t>Обматывание шпильки огнеупорным матом, а затем алюминиевым скотчем</t>
  </si>
  <si>
    <t>Оклеивание ОГНЕУПОРНЫМИ МАТАМИ поверхности  ГОРИЗОНТАЛЬНОГО воздуховода</t>
  </si>
  <si>
    <t>Оклеивание ОГНЕУПОРНЫМИ МАТАМИ поверхности  ВЕРТИКАЛЬНОГО воздуховода</t>
  </si>
  <si>
    <t>Оклеивание ПЕНОФОЛОМ поверхности  ГОРИЗОНТАЛЬНОГО воздуховода</t>
  </si>
  <si>
    <t>Оклеивание ПЕНОФОЛОМ поверхности  ВЕРТИКАЛЬНОГО воздуховода</t>
  </si>
  <si>
    <t>Монтаж оборудования в готовый воздуховод (вырезать сегмент; вставить элемент; закрепить)</t>
  </si>
  <si>
    <t>м²</t>
  </si>
  <si>
    <t>Вертикальный монтаж по стене</t>
  </si>
  <si>
    <t>Горизонтальный монтаж под потолком</t>
  </si>
  <si>
    <t>Монтаж в шахте (стеснённые условия)</t>
  </si>
  <si>
    <t>Погонаж</t>
  </si>
  <si>
    <t>Расчёт площади сечения воздуховода</t>
  </si>
  <si>
    <t>КРУГЛЫЙ ВОЗДУХОВОД</t>
  </si>
  <si>
    <t>ПРЯМОУГОЛЬНЫЙ ВОЗДУХОВОД</t>
  </si>
  <si>
    <t>Символ</t>
  </si>
  <si>
    <t>высота</t>
  </si>
  <si>
    <t>толщина</t>
  </si>
  <si>
    <t>периметр прямой линии примыкания</t>
  </si>
  <si>
    <t>коэффициент для радиусного контура</t>
  </si>
  <si>
    <t>периметр радиусной линии периметра</t>
  </si>
  <si>
    <t>Итого радиусный контур</t>
  </si>
  <si>
    <t>Итого</t>
  </si>
  <si>
    <t>3.8 Буквы и надписи</t>
  </si>
  <si>
    <t>…</t>
  </si>
  <si>
    <t>А</t>
  </si>
  <si>
    <t>Б</t>
  </si>
  <si>
    <t>В</t>
  </si>
  <si>
    <t>Г</t>
  </si>
  <si>
    <t>Высота символа, м</t>
  </si>
  <si>
    <t>Род поверх-ти</t>
  </si>
  <si>
    <t>Длина контура, м</t>
  </si>
  <si>
    <t>Итоговая сумма</t>
  </si>
  <si>
    <t>Д</t>
  </si>
  <si>
    <t>Е</t>
  </si>
  <si>
    <t>Ё</t>
  </si>
  <si>
    <t>Ж</t>
  </si>
  <si>
    <t>Из выпадающего списка в  зелёных ячейках выберите значения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</si>
  <si>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</si>
  <si>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</si>
  <si>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</si>
  <si>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</si>
  <si>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</si>
  <si>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</si>
  <si>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</si>
  <si>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</si>
  <si>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</si>
  <si>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</si>
  <si>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</si>
  <si>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</si>
  <si>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</si>
  <si>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</si>
  <si>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</si>
  <si>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</si>
  <si>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</si>
  <si>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</si>
  <si>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</si>
  <si>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</si>
  <si>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</si>
  <si>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</si>
  <si>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</si>
  <si>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</si>
  <si>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</si>
  <si>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-</t>
  </si>
  <si>
    <t>(</t>
  </si>
  <si>
    <t>)</t>
  </si>
  <si>
    <t>Рисование контура на магнитной поверхности</t>
  </si>
  <si>
    <t>Рисование контура на гладкой немагнитной поверхности</t>
  </si>
  <si>
    <t>Рисование контура на кирпичной поверхности</t>
  </si>
  <si>
    <t>Что входит в стоимость работ: монтаж шаблона на поверхности; рисование карандашом контура; снятие шаблона; проклейка малярного скотча по эскизу контура; закрашивание поверхности</t>
  </si>
  <si>
    <t>ВНИМАНИЕ! Символы имеют внутренний и наружный контур, поэтому суммируются все контуры…</t>
  </si>
  <si>
    <t>Монтаж металлических ограждений</t>
  </si>
  <si>
    <t>Выравнивающий штукатурный слой</t>
  </si>
  <si>
    <t>50-100 м²</t>
  </si>
  <si>
    <t>СЕТКА</t>
  </si>
  <si>
    <t>БАННЕР</t>
  </si>
  <si>
    <t>при площади:</t>
  </si>
  <si>
    <t>м³</t>
  </si>
  <si>
    <t>Из выпадающих списков в зелёных ячейках сконструируйте надпись; для того чтобы ячейка считалась пустой нужно выбрать "…"(три точки)</t>
  </si>
  <si>
    <t>Если наносить два слоя покрытия (расчёт относительно одного слоя)</t>
  </si>
  <si>
    <t>КАЛЬКУЛЯТОР</t>
  </si>
  <si>
    <t>Расчётный объём</t>
  </si>
  <si>
    <t>итого</t>
  </si>
  <si>
    <t>до 70 кг</t>
  </si>
  <si>
    <t>70-150 кг</t>
  </si>
  <si>
    <t>более 150 кг</t>
  </si>
  <si>
    <t>ЗАМЕНА (монтаж и демонтаж сразу) стеклопакетов</t>
  </si>
  <si>
    <t>только МОНТАЖ стеклопакетов</t>
  </si>
  <si>
    <t>только ДЕМОНТАЖ стеклопакетов</t>
  </si>
  <si>
    <t>Введите уклон</t>
  </si>
  <si>
    <t>Этаж</t>
  </si>
  <si>
    <t>Сложная горизонтальная подача груза в окно или на балкон</t>
  </si>
  <si>
    <t>Выберите процесс, осуществляемый над грузом</t>
  </si>
  <si>
    <t>Введите общую массу всех поднимаемых грузов в одном заказе (не забывайте учитывать массу упаковки)</t>
  </si>
  <si>
    <t>ПОДЪЁМ ГРУЗА</t>
  </si>
  <si>
    <t>Монтаж конструкции при подъёме на крышу или террасу</t>
  </si>
  <si>
    <t>Изготовление жёсткой упаковки для груза</t>
  </si>
  <si>
    <t>4.1 Фасадное освещение</t>
  </si>
  <si>
    <t>Монтаж силового кабеля в ГОФРЕ</t>
  </si>
  <si>
    <t>Монтаж силового кабеля в ТРУБЕ</t>
  </si>
  <si>
    <t>КИРПИЧ, БЕТОН</t>
  </si>
  <si>
    <t>"МОКРЫЙ ФАСАД"</t>
  </si>
  <si>
    <t>Род поверхности фасада</t>
  </si>
  <si>
    <t>МОНТАЖ ПО ВЕРТИКАЛИ:</t>
  </si>
  <si>
    <t>Монтаж СВЕТОДИОДНОЙ ленты в профиле</t>
  </si>
  <si>
    <t>Монтаж НЕОНОВОЙ ленты, профиль на клипсы</t>
  </si>
  <si>
    <t>МОНТАЖ ПО ГОРИЗОНТАЛИ:</t>
  </si>
  <si>
    <t>Монтаж ЛИНЕЙНОГО светильника</t>
  </si>
  <si>
    <t>Монтаж ТОЧЕЧНОГО светильника</t>
  </si>
  <si>
    <t>Монтаж и подключение распределительной коробки</t>
  </si>
  <si>
    <t>Монтаж и подключение трансформаторного блока</t>
  </si>
  <si>
    <t>ДОПОЛНИТЕЛЬНО:</t>
  </si>
  <si>
    <t>Сверление сквозного отверстия под кабель в КИРПИЧНОЙ стене диаметром до 20 мм и толщиной до 500 мм</t>
  </si>
  <si>
    <t>Сверление сквозного отверстия под кабель в БЕТОННОЙ стене диаметром до 20 мм и толщиной до 500 мм</t>
  </si>
  <si>
    <t>Покраска стальных котельных дымовых труб с лестницей</t>
  </si>
  <si>
    <t>Покраска стальных котельных дымовых труб БЕЗ ЛЕСТНИЦЫ (подъём на петлях или другие методы)</t>
  </si>
  <si>
    <t>магнитная поверхность</t>
  </si>
  <si>
    <t>инфляция за год</t>
  </si>
  <si>
    <t>инфл.</t>
  </si>
  <si>
    <t>2020-2021</t>
  </si>
  <si>
    <t>2021-2022</t>
  </si>
  <si>
    <t>2023-2024</t>
  </si>
  <si>
    <t>2024-2025</t>
  </si>
  <si>
    <t>2025-2026</t>
  </si>
  <si>
    <t>2026-2027</t>
  </si>
  <si>
    <t>2027-2028</t>
  </si>
  <si>
    <t>2028-2029</t>
  </si>
  <si>
    <t>инфляция за период</t>
  </si>
  <si>
    <t>инфляция с 2020г.</t>
  </si>
  <si>
    <t>м² от</t>
  </si>
  <si>
    <t>при уклоне</t>
  </si>
  <si>
    <t>градусов</t>
  </si>
  <si>
    <t>м.п. от</t>
  </si>
  <si>
    <t>шт. от</t>
  </si>
  <si>
    <t>Прошу не удалять эту страницу</t>
  </si>
  <si>
    <t>Данный прайс будет переделываться</t>
  </si>
  <si>
    <t>Пункт 4 считается следующим образом, сумма ставки за ложный выезд + километраж туда и обратно, умноженный на ставку за 1км</t>
  </si>
  <si>
    <t>«солома»- это мелкие детали, где ширина плоскости менее 200мм</t>
  </si>
  <si>
    <t>Монтаж КРОНШТЕЙНОВ для внешнего блока сплита</t>
  </si>
  <si>
    <t>Монтаж КОРЗИНЫ (2 кронштейна, 2 боковые панели и 1 передняя панель)</t>
  </si>
  <si>
    <t>Монтаж КОРЗИНЫ (2 кронштейна и 1 передняя панель)</t>
  </si>
  <si>
    <t>Монтаж КОРЗИНЫ (2 кронштейна, 2 боковые панели, 1 передняя панель и 1 верхняя панель)</t>
  </si>
  <si>
    <t>Монтаж КОРЗИНЫ (2 кронштейна, 2 боковые панели, 1 передняя панель, 1 верхняя панель и 1 нижняя панель)</t>
  </si>
  <si>
    <t>Минимальная стоимость СБОРКИ корзины (так как невозможно предвидеть все возможные варианты конструкций корзин, то в данной графе обозначается стартовая стоимость)</t>
  </si>
  <si>
    <t>пара (2шт.)</t>
  </si>
  <si>
    <t>Ед. изм.</t>
  </si>
  <si>
    <t>Минимальная ставка за ОДИН СПУСК</t>
  </si>
  <si>
    <t>МАТЕРИАЛ ФАСАДА</t>
  </si>
  <si>
    <t>кирпич</t>
  </si>
  <si>
    <t>бетон</t>
  </si>
  <si>
    <t>кирпич + мокрый фасад</t>
  </si>
  <si>
    <t>бетон + мокрый фасад</t>
  </si>
  <si>
    <t>МОНТАЖ одной плитки керамогранита (Вентфасад)</t>
  </si>
  <si>
    <t>ДЕМОНТАЖ одной плитки керамогранита (Вентфасад)</t>
  </si>
  <si>
    <t>ДЕМОНТАЖ композита</t>
  </si>
  <si>
    <t>МОНТАЖ композита</t>
  </si>
  <si>
    <t>Дополнительные работы (считаются отдельной позицией)</t>
  </si>
  <si>
    <t>от 1,2 и выше...</t>
  </si>
  <si>
    <t>4.2 КРОНШТЕЙНЫ, КОРЗИНЫ, БОКСЫ под сплиты</t>
  </si>
  <si>
    <t>Все расценки рассматриваем относительно ПЛОСКОЙ кровли...</t>
  </si>
  <si>
    <t>В... Сравниваем каждый спуск с минималкой (см.пункт 7) и если спуск ниже минималки, то обозначаем за него минималку.</t>
  </si>
  <si>
    <t>4.2 Корзины под сплиты</t>
  </si>
  <si>
    <t>Пункт 7... Будьте внимательны в моменте ценообразования... Ваш один спуск не должен быть дешевле ставки в пункте 7...</t>
  </si>
  <si>
    <t>А... Сначала считаем количество прямых спусков на здании.</t>
  </si>
  <si>
    <t>Б... Просчитываем каждый спуск по отдельности (в соответствии с прайсом).</t>
  </si>
  <si>
    <t>Д... Итоговую сумму делим на количество корзин, таким образом выводим среднюю стоимость за одну корзину. Пункт Д  выполняем, если заказчику нужна стоимость одной корзины.</t>
  </si>
  <si>
    <t>Минимальная стоимость резки одного круглого или прямоугольного отверстия</t>
  </si>
  <si>
    <t>Демонтаж кирпичной трубы</t>
  </si>
  <si>
    <t>Демонтаж стальной трубы</t>
  </si>
  <si>
    <t>Демонта железобетонной трубы</t>
  </si>
  <si>
    <t>‼️ ‼️ Прошу быть внимательнее, смотрите на единицы измерения...</t>
  </si>
  <si>
    <t>Для того, чтобы воспользоваться калькулятором, вам нужно скачать прайс в формате .xls</t>
  </si>
  <si>
    <t>Демонтаж кронштейнов для ЗУС (защитно-улавливающая сетка)</t>
  </si>
  <si>
    <t>Стоимость ПОДЪЁМА груза массой 1кг на 1 этаж</t>
  </si>
  <si>
    <t>Стоимость СПУСКА груза массой 1кг на 1 этаж</t>
  </si>
  <si>
    <t>ПОЛНАЯ РАСЧЕКАНКА межпанельного шва (удаление штукатурки и внутреннего наполнения шва)</t>
  </si>
  <si>
    <t>4.3 СНЕГ, НАЛЕДЬ, СОСУЛЬКИ...</t>
  </si>
  <si>
    <t>Плоская кровля</t>
  </si>
  <si>
    <t>Скатная кровля с уклоном до 20°</t>
  </si>
  <si>
    <t>Скатная кровля с уклоном более 20°</t>
  </si>
  <si>
    <t>УДАЛЕНИЕ СОСУЛЕК ПО ПЕРИМЕТРУ КРОВЛИ</t>
  </si>
  <si>
    <t>Удаление наледи из водосточных ЖЁЛОБОВ</t>
  </si>
  <si>
    <t>УДАЛЕНИЕ НАЛЕДИ С ВЕРТИКАЛЬНОЙ ПОВЕРХНОСТИ</t>
  </si>
  <si>
    <t>толщина 5см</t>
  </si>
  <si>
    <t>толщина 10см</t>
  </si>
  <si>
    <t>толщина 15см</t>
  </si>
  <si>
    <t>толщина 20см</t>
  </si>
  <si>
    <t>толщина 25см</t>
  </si>
  <si>
    <t>толщина 30см</t>
  </si>
  <si>
    <t>с помехами внизу</t>
  </si>
  <si>
    <t>без помех внизу</t>
  </si>
  <si>
    <t>4.3 Снег, наледь, сосульки</t>
  </si>
  <si>
    <t>2.2 ОЧИСТКА водосточной системы (листва, хвоя, ил)...</t>
  </si>
  <si>
    <t>2.2 Очистка водосточки</t>
  </si>
  <si>
    <t>Карта Сбербанка</t>
  </si>
  <si>
    <t>Для формирования прайсов было затрачено много времени и усилий...
🔆🔆🔆🔆🔆
Если плоды этого труда являются полезными для вас, то можете поучаствовать финансами...
Сумма на ваше усмотрение...</t>
  </si>
  <si>
    <t>Спасибо!</t>
  </si>
  <si>
    <t>Г... Далее суммируем все получившиеся суммы за каждый спуск.</t>
  </si>
  <si>
    <t>4.4 Штукатурные работы</t>
  </si>
  <si>
    <t>Удаление штукатурки ПОЛНОСТЬЮ до основания</t>
  </si>
  <si>
    <t>Локальное нанесение слоя штукатурки</t>
  </si>
  <si>
    <t>Нанесение грунтовки глубокого проникновения валиком</t>
  </si>
  <si>
    <t>Нанесение грунтовки глубокого проникновения аппаратом безвоздушного распыления</t>
  </si>
  <si>
    <t>Нанесение бетоноконтакта макловицей</t>
  </si>
  <si>
    <t>Пристреливание штукатурной сетки</t>
  </si>
  <si>
    <t>Оштукатуривание стен "под шпатель"</t>
  </si>
  <si>
    <t>Оштукатуривание стен по маякам толщиной слоя:</t>
  </si>
  <si>
    <t>до 30мм включительно</t>
  </si>
  <si>
    <t>40мм</t>
  </si>
  <si>
    <t>50мм</t>
  </si>
  <si>
    <t>60мм</t>
  </si>
  <si>
    <t>70мм</t>
  </si>
  <si>
    <t>80мм</t>
  </si>
  <si>
    <t>90мм</t>
  </si>
  <si>
    <t>100мм</t>
  </si>
  <si>
    <t>Шпатлевание по НЕРОВНОЙ поверхности (кирпич, шуба, декоративка и др.)</t>
  </si>
  <si>
    <t>Шпатлевание по РОВНОЙ поверхности (бетон, готовая штукатурка и др.)</t>
  </si>
  <si>
    <t>Нанесение слоя клея с использованием армирующей СТЕКЛОСЕТКИ</t>
  </si>
  <si>
    <t>стена</t>
  </si>
  <si>
    <t>потолок</t>
  </si>
  <si>
    <t>СПОСОБ НАНЕСЕНИЯ</t>
  </si>
  <si>
    <t>ручной</t>
  </si>
  <si>
    <t>механизированный</t>
  </si>
  <si>
    <t>Установка маяков</t>
  </si>
  <si>
    <t>Удаление маяков</t>
  </si>
  <si>
    <t>Насечка поверхности перед оштукатуриванием</t>
  </si>
  <si>
    <t>Оштукатуривание АРОЧНЫХ откосов</t>
  </si>
  <si>
    <t>Заделка раковин, полостей, пустот</t>
  </si>
  <si>
    <t>СТЕНА</t>
  </si>
  <si>
    <t>ПОТОЛОК</t>
  </si>
  <si>
    <t>ОТКОСЫ</t>
  </si>
  <si>
    <t>ДОПОЛНИТЕЛЬНО</t>
  </si>
  <si>
    <t>ОГРУНТОВКА</t>
  </si>
  <si>
    <t>РЕМОНТ</t>
  </si>
  <si>
    <t>ДЕМОНТАЖ</t>
  </si>
  <si>
    <t>Расшивка трещин и заделка их ремонтным составом</t>
  </si>
  <si>
    <t xml:space="preserve">м² </t>
  </si>
  <si>
    <t>Частичное удаление штукатурки (простукивание и отбивание того, что отслоилось)</t>
  </si>
  <si>
    <t>Оштукатуривание откосов окон, углов колонн</t>
  </si>
  <si>
    <t>Пример: нужно оштукатурить колонну сечением 0,5*0,5м и высотой 10м...</t>
  </si>
  <si>
    <t>Расчёт объёма работ: длина углов составляет 4*10=40м.п.;  площадь поверхности 0.5*4*10=20м²</t>
  </si>
  <si>
    <t>Стоимость: 40м.п.*(значение в строке 18) + 20м²*(значение в строке 2)...</t>
  </si>
  <si>
    <t>1 февраля расценки автоматически индексируются относительно инфляции в РФ</t>
  </si>
  <si>
    <t>Строка 8 считается погонными метрами... (для большой площади можно посчитать длину расшивки в 1м² и применить для всего объёма, умножив на общую квадратуру)...</t>
  </si>
  <si>
    <t>НЕТ</t>
  </si>
  <si>
    <t>Стоимость СПУСКА габаритного груза с крыши массой 1кг на 1этаж  (когда требуется собирать конструкцию для организации точки крепления)</t>
  </si>
  <si>
    <t>Стоимость ПОДЪЁМА габаритного груза на крышу массой 1кг на 1этаж  (когда требуется собирать конструкцию для организации точки крепления)</t>
  </si>
  <si>
    <t>Сборка конструкции для подъёма или спуска габаритного груза на крышу или террасу ( джакузи, бассейны и другие объёмные изделия)</t>
  </si>
  <si>
    <t>Замена дренажной трубы</t>
  </si>
  <si>
    <t>Присоединение дренажной трубы к коллективному дренажу</t>
  </si>
  <si>
    <t>Монтаж трубы коллективного дренажа по фасаду из кирпича, бетона</t>
  </si>
  <si>
    <t>Пайка медной трубки</t>
  </si>
  <si>
    <t>стык</t>
  </si>
  <si>
    <t>Сверление под труботрассу в бетонной стене</t>
  </si>
  <si>
    <t>Сверление под труботрассу в кирпичной стене</t>
  </si>
  <si>
    <t>ШТРОБЛЕНИЕ под труботрассу в бетонной стене</t>
  </si>
  <si>
    <t>ШТРОБЛЕНИЕ под труботрассу в кирпичной стене</t>
  </si>
  <si>
    <t>Монтаж дополнительной труботрассы</t>
  </si>
  <si>
    <t>Монтаж кабель-канала для труботрассы</t>
  </si>
  <si>
    <t>Чистка наружного блока мойкой высокого давления</t>
  </si>
  <si>
    <t>Замерить давление фреона</t>
  </si>
  <si>
    <t>Заправка кондиционера фреоном</t>
  </si>
  <si>
    <t>Фреон R410A</t>
  </si>
  <si>
    <t>Фреон R22</t>
  </si>
  <si>
    <t>Мелкий ремонт с разборкой блока</t>
  </si>
  <si>
    <t>замер</t>
  </si>
  <si>
    <t>заправка</t>
  </si>
  <si>
    <t>грамм</t>
  </si>
  <si>
    <t>Дренаж</t>
  </si>
  <si>
    <t>Если целевой этаж от 2 по 9, то при расчёте учитываем как 10-й этаж...</t>
  </si>
  <si>
    <t>Монтаж кронштейна на кирпичную стену</t>
  </si>
  <si>
    <t>Монтаж кронштейна на бетонную стену</t>
  </si>
  <si>
    <t>Монтаж кронштейна на "мокрый фасад" по кирпичу</t>
  </si>
  <si>
    <t>Монтаж кронштейна на "мокрый фасад" по бетону</t>
  </si>
  <si>
    <t>пара</t>
  </si>
  <si>
    <t>Сопутствующие работы, выполняемые методом промышленного альпинизма</t>
  </si>
  <si>
    <t>Проклеивание стыков воздуховода АЛЮМИНИЕВЫМ СКОТЧЕМ (два слоя)</t>
  </si>
  <si>
    <t>коэф.</t>
  </si>
  <si>
    <t>ед.изм.</t>
  </si>
  <si>
    <t>Монтаж троса, натянутого посредством талрепов</t>
  </si>
  <si>
    <t>Работы в пространстве под потолком (торговые центры, спорткомплексы и склады)</t>
  </si>
  <si>
    <t>Расширение ж/б плиты отбойником на каждые 10мм( толщ.200мм) под воздуховод</t>
  </si>
  <si>
    <t>Монтаж кронштейна на ферму (две траверсы, стянутые шпильками)</t>
  </si>
  <si>
    <t>Сторона А, мм</t>
  </si>
  <si>
    <t>Сторона В, мм</t>
  </si>
  <si>
    <t>Площадь поверхности в 1 м.п. (м²)</t>
  </si>
  <si>
    <t>Диаметр (мм)</t>
  </si>
  <si>
    <t>Введите значения в зелёные ячейки, в оранжевых появятся вычисления</t>
  </si>
  <si>
    <t>!!!  Если периметр сечения воздуховода менее 1 метра, то в расчёте считать как 1 метр</t>
  </si>
  <si>
    <t>Монтаж тяжёлых воздуховодов (толщина стенки от 2мм)</t>
  </si>
  <si>
    <t>Окраска фасада в один слой (гладкая поверхность) безвоздушным способом</t>
  </si>
  <si>
    <t>Окраска фасада в один слой (гладкая поверхность) ВАЛИКОМ</t>
  </si>
  <si>
    <t>Огрунтовка фасада ВАЛИКОМ</t>
  </si>
  <si>
    <t>Гидрофобизация фасада безвоздушным способом</t>
  </si>
  <si>
    <t>Огрунтовка фасада безвоздушным способом</t>
  </si>
  <si>
    <t>Гидрофобизация фасада ВАЛИКОМ или КИСТЬЮ</t>
  </si>
  <si>
    <t>Покраска декоративной штукатурки в 1 слой безвоздушным способом</t>
  </si>
  <si>
    <t>Покраска декоративной штукатурки в 1 слой ВАЛИКОМ</t>
  </si>
  <si>
    <t>Покраска шубы в 1 слой безвоздушным способом</t>
  </si>
  <si>
    <t>Покраска шубы в 1 слой ВАЛИКОМ</t>
  </si>
  <si>
    <t>Покраска кирпичного фасада в 1 слой безвоздушным способом</t>
  </si>
  <si>
    <t>Покраска кирпичного фасада в 1 слой ВАЛИКОМ и КИСТЬЮ</t>
  </si>
  <si>
    <t>Если "мокрый фасад" выполняется на ПОТОЛОЧНОЙ поверхности</t>
  </si>
  <si>
    <t>ВНИМАНИЕ!!! В прайсах не учитывается стоимость материалов, это расценки именно за работу...</t>
  </si>
  <si>
    <t>151-200 м²</t>
  </si>
  <si>
    <t>101-150 м²</t>
  </si>
  <si>
    <t>более 200м²</t>
  </si>
  <si>
    <t>Монтаж ГАЛТЕЛИ на примыкании в основании стены</t>
  </si>
  <si>
    <t>Устройство карнизного свеса</t>
  </si>
  <si>
    <t>Устройство фронтоного свеса</t>
  </si>
  <si>
    <t>Обшивка карнизного свеса</t>
  </si>
  <si>
    <t>Обшивка фронтонного свеса</t>
  </si>
  <si>
    <t>Монтаж карнизной, торцевой планок, капельника</t>
  </si>
  <si>
    <t>Устройство контробрешётки с проклейкой лентой</t>
  </si>
  <si>
    <t>Примыкание гибкой черепицы к вертикальным стенам, ендова</t>
  </si>
  <si>
    <t>Монтаж настила из ШИФЕРА</t>
  </si>
  <si>
    <t>Монтаж настила из ОНДУЛИНА</t>
  </si>
  <si>
    <t>Монтаж металлического конька</t>
  </si>
  <si>
    <t>Монтаж вентилируемого конька для гибкой черепицы</t>
  </si>
  <si>
    <t xml:space="preserve">Монтаж УГОЛКОВОГО снегозадержателя </t>
  </si>
  <si>
    <t xml:space="preserve">Монтаж ТРУБЧАТОГО снегозадержателя </t>
  </si>
  <si>
    <t xml:space="preserve">Монтаж РЕШЁТЧАТОГО снегозадержателя </t>
  </si>
  <si>
    <t>Монтаж БУГЕЛЯ (точечного снегозадержателя для гибкой черепицы)</t>
  </si>
  <si>
    <t>Монтаж КЛИНОВЫХ строительных лесов</t>
  </si>
  <si>
    <t>Демонтаж КЛИНОВЫХ строительных лесов</t>
  </si>
  <si>
    <t>Монтаж РАМНЫХ строительных лесов</t>
  </si>
  <si>
    <t>Демонтаж РАМНЫХ строительных лесов</t>
  </si>
  <si>
    <t>Монтаж ХОМУТОВЫХ строительных лесов</t>
  </si>
  <si>
    <t>Демонтаж ХОМУТОВЫХ строительных лесов</t>
  </si>
  <si>
    <t>Монтаж ШТЫРЕВЫХ строительных лесов</t>
  </si>
  <si>
    <t>Демонтаж ШТЫРЕВЫХ строительных лесов</t>
  </si>
  <si>
    <t>Упаковка листовых материалов (крупноформатный керамогранит, столешницы, слэбы, стёкла, зеркала и т.д.) в жесткий короб из фанеры</t>
  </si>
  <si>
    <t>человеко-час</t>
  </si>
  <si>
    <t>Командировочные, суточные</t>
  </si>
  <si>
    <t>человеко-день</t>
  </si>
  <si>
    <t>Будьте внимательны!!!  При расчёте считается площадь поверхности воздуховода. Внизу есть КАЛЬКУЛЯТОР...</t>
  </si>
  <si>
    <t>Подготовка ПЛОЩАДКИ ПОД ЛЕСА и устройство дренажных канавок для стока дождевой воды</t>
  </si>
  <si>
    <t>Нанесение ШТУКАТУРНОГО слоя поверх шва</t>
  </si>
  <si>
    <t>Крепление утеплителя саморезами через шайбы диаметром 50 мм к ПОТОЛКУ из профлиста, фанеры, osb и т.д.</t>
  </si>
  <si>
    <t>Крепление утеплителя саморезами через шайбы диаметром 50 мм к СТЕНЕ из профлиста, фанеры, osb и т.д.</t>
  </si>
  <si>
    <t>Крепление утеплителя тарельчатыми дюбелями (грибками) к фасаду из пеноблоков</t>
  </si>
  <si>
    <t>Крепление утеплителя тарельчатыми дюбелями (грибками) к фасаду из кирпича</t>
  </si>
  <si>
    <t>Крепление утеплителя тарельчатыми дюбелями (грибками) к фасаду из бетона</t>
  </si>
  <si>
    <t>Препятствие на фасаде (труба, кронштейн и др. элементы)...</t>
  </si>
  <si>
    <t>Монтаж воздуховода ВЕРТИКАЛЬНО по стене (***организация надёжного соединения; крепление воздуховода к кронштейнам)</t>
  </si>
  <si>
    <t>Резка в сэндвич-панелях проёмов (прямолинейный рез) (**сабельная пила с коротким полотном, резать сначала с одной стороны, потом с противоположной)</t>
  </si>
  <si>
    <t>Резка в сэндвич-панелях отверстий под трубы, воздуховоды, проёмы (криволинейный рез) (**)</t>
  </si>
  <si>
    <t>Расценки по уборке снега и сосулькам только для ЮЖНОГО РЕГИОНА, здесь это редкость...</t>
  </si>
  <si>
    <t>Если крыша скатная, то применяется повышающий коэффициент</t>
  </si>
  <si>
    <t>Заделка пустот в расшивке кирпичной кладки фасада (при локальной заделке)...</t>
  </si>
  <si>
    <t>СПЛОШНАЯ  ПУСТОШОВКА</t>
  </si>
  <si>
    <t>Заделка пустот в расшивке кладки в ПОЛУТОРНЫЙ кирпич (250/120/88мм)</t>
  </si>
  <si>
    <t>Заделка пустот в расшивке кладки в  ОДИНАРНЫЙ кирпич (250/120/65мм)</t>
  </si>
  <si>
    <t>Заделка пустот в расшивке кладки в        ДВОЙНОЙ кирпич (250/120/138мм)</t>
  </si>
  <si>
    <t>Расценка включает в себя следующий перечень работ: 1. Лёгкая зачистка от "лопухов"; 2. Огрунтовка(если требуется); 3. Покраска в красный и белый цвета...</t>
  </si>
  <si>
    <t>Минимальная сумма заказа</t>
  </si>
  <si>
    <t>4.5 ВОДОСТОЧНАЯ СИСТЕМА</t>
  </si>
  <si>
    <t>Демонтаж водосточной трубы</t>
  </si>
  <si>
    <t>Монтаж водосточного жёлоба</t>
  </si>
  <si>
    <t>Демонтаж водосточного жёлоба</t>
  </si>
  <si>
    <t>Прорезание отверстия в водосточном жёлобе с последующим монтажом воронки</t>
  </si>
  <si>
    <t>Монтаж дополнительного КОЛЕНА водосточной трубы</t>
  </si>
  <si>
    <t>4.5 Водосточная система</t>
  </si>
  <si>
    <t>4.6 ПНД трубы</t>
  </si>
  <si>
    <t>90 мм</t>
  </si>
  <si>
    <t>110 мм</t>
  </si>
  <si>
    <t>225 мм</t>
  </si>
  <si>
    <t>250 мм</t>
  </si>
  <si>
    <t>280 мм</t>
  </si>
  <si>
    <t>315 мм</t>
  </si>
  <si>
    <t>СТЫКОВАЯ</t>
  </si>
  <si>
    <t>ЭЛЕКТРОМУФТОВАЯ</t>
  </si>
  <si>
    <t>МОНТАЖ</t>
  </si>
  <si>
    <t>ПНД труба диаметром:</t>
  </si>
  <si>
    <t>200 мм</t>
  </si>
  <si>
    <t>180 мм</t>
  </si>
  <si>
    <t>160 мм</t>
  </si>
  <si>
    <t>140 мм</t>
  </si>
  <si>
    <t>125 мм</t>
  </si>
  <si>
    <t>Монтаж ШПИЛЬКИ к потолку из промышленного профиля при помощи V-образного элемента ("ласточкин хвост ")</t>
  </si>
  <si>
    <t xml:space="preserve">4.6 ПНД ТРУБЫ </t>
  </si>
  <si>
    <t>Сварка ПНД трубы</t>
  </si>
  <si>
    <t>Нанесение Бетоноконтакта макловицей</t>
  </si>
  <si>
    <t>Набивка штукатурной сетки при помощи монтажного пистолета или иным методом</t>
  </si>
  <si>
    <t>Покраска торцов плит в 1 слой под скотч</t>
  </si>
  <si>
    <t>Покраска торцов плит в 2 слоя под скотч</t>
  </si>
  <si>
    <t>При сложном горизонтальном перемещении в пространстве (над станками, над трибуной, над бассейном и т.д.)... РАССТОЯНИЕ считается следующим образом, сумма горизонтального и вертикального перемещения...</t>
  </si>
  <si>
    <t>При подъёме на промышленным объектах внутри и снаружи строения...</t>
  </si>
  <si>
    <t>При ПОДЪЁМЕ (цех, завод, спортивный комплекс); рассчитывается в метрах</t>
  </si>
  <si>
    <t>При СПУСКЕ (цех, завод, спортивный комплекс); рассчитывается в метрах</t>
  </si>
  <si>
    <t>Автор</t>
  </si>
  <si>
    <t>1.3 УТЕПЛЕНИЕ, МОКРЫЙ ФАСАД</t>
  </si>
  <si>
    <t>1.3 Утепление, мокрый фасад</t>
  </si>
  <si>
    <t>Волновой шифер</t>
  </si>
  <si>
    <t>Песчаная черепица</t>
  </si>
  <si>
    <t>Гибкая черепица</t>
  </si>
  <si>
    <t>Полимерная мембрана</t>
  </si>
  <si>
    <t>Профнастил</t>
  </si>
  <si>
    <t>Металлочерепица</t>
  </si>
  <si>
    <t>Листовая сталь</t>
  </si>
  <si>
    <t>Парапеты</t>
  </si>
  <si>
    <t>Сброс в одну сторону</t>
  </si>
  <si>
    <t>Сброс с одной точки</t>
  </si>
  <si>
    <t>В зависимости от кровельного материала эта сумма  добавляется к БАЗОВОЙ ставке (см.пункт1):</t>
  </si>
  <si>
    <t>В зависимости от фактора сложности эта сумма добавляется к БАЗОВОЙ ставке (см.пункт1):</t>
  </si>
  <si>
    <t>Надбавка за каждые дополнительные 5см относительно стартовой позиции в 20см</t>
  </si>
  <si>
    <t>Надбавка за каждые 5 градусов уклона ската относительно стартовой позиции в 20 градусов</t>
  </si>
  <si>
    <t>При отсутствии ограждения на кровле с уклонов более 20 градусов добавляется</t>
  </si>
  <si>
    <t>При отсутствии точки страховки при уклоне более 20 градусов добавляется</t>
  </si>
  <si>
    <t>БАЗОВАЯ СТАВКА (при уклоне до 20°) при толщине слоя до 20см включительно</t>
  </si>
  <si>
    <t>Демонтаж и монтаж КОРЗИНЫ (иногда без этого не добраться до внешнего блока)</t>
  </si>
  <si>
    <t>2.7 АКЗ (антикоррозийная защита) металлоконструкций</t>
  </si>
  <si>
    <t>Нанесение ОДНОГО слоя ЛКМ безвоздушным способом на трубы диаметром:</t>
  </si>
  <si>
    <t>до 76 мм</t>
  </si>
  <si>
    <t>от 89 до 133мм</t>
  </si>
  <si>
    <t>от 159 до 273мм</t>
  </si>
  <si>
    <t>Нанесение ОДНОГО слоя ЛКМ кистью, валиком на трубы диаметром:</t>
  </si>
  <si>
    <t>СТАЛЬНЫЕ ТРУБЫ разных ДИАМЕТРОВ (котельные, коллекторы, труботрассы и др.)</t>
  </si>
  <si>
    <t>Зачистка УШМ</t>
  </si>
  <si>
    <t>Зачистка щётками</t>
  </si>
  <si>
    <t>Обезжиривание</t>
  </si>
  <si>
    <t>Химическая смывка</t>
  </si>
  <si>
    <t>Трубы диаметром:</t>
  </si>
  <si>
    <t>от 325мм и выше (считается развёртка в м²)</t>
  </si>
  <si>
    <t>Стоимость 1 м.п. откоса относительно 1м²  всего "пирога" мокрого фасада</t>
  </si>
  <si>
    <t>Монтаж проушин под карнизом для оттяжки (применяется для НЕ БОЛЬШИХ карнизов, где можно свободно достать до фасада)</t>
  </si>
  <si>
    <t>Организация трассы из оттяжек для прохождения БОЛЬШИХ карнизов (нависаний); бурение отверстия, забивка анкера с проушиной, передвижение промальпа в данную точку; СЧИТАЕТСЯ ГЛУБИНА КАРНИЗА</t>
  </si>
  <si>
    <t>Организация трассы из оттяжек при ГОРИЗОНТАЛЬНОМ перемещении по фасаду (применяется при отсутствии возможности вывеситься сверху); СЧИТАЕТСЯ ДЛИНА ПЕРЕМЕЩЕНИЯ</t>
  </si>
  <si>
    <t>Демонтаж трассы из оттяжек составляет от МОНТАЖА</t>
  </si>
  <si>
    <t>Заклеивание окон плёнкой</t>
  </si>
  <si>
    <t>Монтаж кронштейнов для ЗУС на  (защитно-улавливающая сетка)</t>
  </si>
  <si>
    <t>Монтаж фасонных элементов (нащельники, угловые элементы, обналичники и др.)</t>
  </si>
  <si>
    <t>ПОВЫШАЮЩИЕ   КОЭФФИЦИЕНТЫ</t>
  </si>
  <si>
    <t>Работа в НОЧНУЮ смену продолжительностью 4-7 дней</t>
  </si>
  <si>
    <t>Работа в НОЧНУЮ смену продолжительностью 8 и более дней (при смене 5/2)</t>
  </si>
  <si>
    <t>Работа в СТЕСНЁННЫХ УСЛОВИЯХ</t>
  </si>
  <si>
    <t>Работа на территории с ДВИЖУЩИМИСЯ МЕХАНИЗМАМИ (конвейеры, транспорт, краны и др.)</t>
  </si>
  <si>
    <t>Опасная среда (повышенная или пониженная температура, сильное пылеобразование, задымление, опасная химическая среда)</t>
  </si>
  <si>
    <t>Работа в НОЧНУЮ смену продолжительностью 1 день (разовый выход)</t>
  </si>
  <si>
    <t>2.6 СТАВКИ (при нестандартных заказах, где невозможно посчитать объём или отсутствует прайс на данный вид работы)</t>
  </si>
  <si>
    <t>2.6 Ставки, коэффициенты (повременная оплата)</t>
  </si>
  <si>
    <t>Перемещение под потолком из промышленного профлиста; монтаж и последующий демонтаж V-образных креплений для вывешивания промальпа; СЧИТАЕТСЯ ДЛИНА ПЕРЕМЕЩЕНИЯ</t>
  </si>
  <si>
    <t>внеплановая на 1 апреля</t>
  </si>
  <si>
    <t>Актуально на 01 апреля 2022</t>
  </si>
  <si>
    <t>2022-2023</t>
  </si>
  <si>
    <t>4276380205662872</t>
  </si>
  <si>
    <t>Ковальских Сергей Владимирович</t>
  </si>
  <si>
    <t>promtehalp@mail.ru</t>
  </si>
  <si>
    <t>+79260683038</t>
  </si>
  <si>
    <t>В промальпе с 2005 года</t>
  </si>
  <si>
    <t>г.Москва</t>
  </si>
  <si>
    <t>https://promtehalp.ru/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</si>
</sst>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,##0\ &quot;₽&quot;;[Red]\-#,##0\ &quot;₽&quot;"/>
    <numFmt numFmtId="165" formatCode="#,##0\ &quot;₽&quot;"/>
    <numFmt numFmtId="166" formatCode="#,##0\ [$₽-419];[Red]#,##0\ [$₽-419]"/>
    <numFmt numFmtId="167" formatCode="#,##0\ [$₽-419]"/>
    <numFmt numFmtId="168" formatCode="#,##0.0\ [$₽-419];[Red]#,##0.0\ [$₽-419]"/>
    <numFmt numFmtId="169" formatCode="#,##0\ &quot;₽&quot;;[Red]#,##0\ &quot;₽&quot;"/>
    <numFmt numFmtId="170" formatCode="0.0"/>
    <numFmt numFmtId="171" formatCode="0.0;[Red]0.0"/>
    <numFmt numFmtId="172" formatCode="#,##0.00\ [$₽-419]"/>
    <numFmt numFmtId="173" formatCode="0&quot; кг &quot;"/>
    <numFmt numFmtId="174" formatCode="0&quot; этаж &quot;"/>
    <numFmt numFmtId="175" formatCode="0&quot; см &quot;"/>
    <numFmt numFmtId="176" formatCode="0&quot; м &quot;"/>
    <numFmt numFmtId="177" formatCode="0&quot; мм &quot;"/>
    <numFmt numFmtId="178" formatCode="0&quot; м³ &quot;"/>
    <numFmt numFmtId="179" formatCode="0.0&quot; м &quot;"/>
    <numFmt numFmtId="180" formatCode="#,##0.0\ [$₽-419]"/>
    <numFmt numFmtId="181" formatCode="#,##0.00\ [$₽-419];[Red]#,##0.00\ [$₽-419]"/>
    <numFmt numFmtId="182" formatCode="#,##0.0"/>
    <numFmt numFmtId="183" formatCode="0.0000"/>
  </numFmts>
  <fonts count="6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b/>
      <i/>
      <u/>
      <sz val="14"/>
      <color rgb="FFFF000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sz val="6"/>
      <name val="Yu Gothic"/>
      <family val="2"/>
      <charset val="128"/>
    </font>
    <font>
      <u/>
      <sz val="20"/>
      <color theme="1"/>
      <name val="Calibri"/>
      <family val="2"/>
      <charset val="204"/>
      <scheme val="minor"/>
    </font>
    <font>
      <b/>
      <u/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u/>
      <sz val="26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i/>
      <u/>
      <sz val="26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u/>
      <sz val="11"/>
      <color rgb="FFFFFF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u/>
      <sz val="24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u/>
      <sz val="16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i/>
      <u/>
      <sz val="2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0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505050"/>
      </left>
      <right style="thin">
        <color indexed="64"/>
      </right>
      <top style="double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505050"/>
      </top>
      <bottom style="thin">
        <color indexed="64"/>
      </bottom>
      <diagonal/>
    </border>
    <border>
      <left style="double">
        <color rgb="FF505050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double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505050"/>
      </top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rgb="FF505050"/>
      </right>
      <top/>
      <bottom/>
      <diagonal/>
    </border>
    <border>
      <left style="double">
        <color rgb="FF505050"/>
      </left>
      <right style="thin">
        <color rgb="FF505050"/>
      </right>
      <top style="double">
        <color rgb="FF505050"/>
      </top>
      <bottom style="thin">
        <color rgb="FF505050"/>
      </bottom>
      <diagonal/>
    </border>
    <border>
      <left style="thin">
        <color rgb="FF505050"/>
      </left>
      <right style="double">
        <color rgb="FF505050"/>
      </right>
      <top style="double">
        <color rgb="FF505050"/>
      </top>
      <bottom style="thin">
        <color rgb="FF505050"/>
      </bottom>
      <diagonal/>
    </border>
    <border>
      <left style="double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double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double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double">
        <color rgb="FF505050"/>
      </left>
      <right style="double">
        <color rgb="FF505050"/>
      </right>
      <top style="double">
        <color rgb="FF505050"/>
      </top>
      <bottom style="thin">
        <color rgb="FF505050"/>
      </bottom>
      <diagonal/>
    </border>
    <border>
      <left style="double">
        <color rgb="FF505050"/>
      </left>
      <right style="double">
        <color rgb="FF505050"/>
      </right>
      <top style="thin">
        <color rgb="FF505050"/>
      </top>
      <bottom style="thin">
        <color rgb="FF505050"/>
      </bottom>
      <diagonal/>
    </border>
    <border>
      <left style="double">
        <color rgb="FF505050"/>
      </left>
      <right style="double">
        <color rgb="FF505050"/>
      </right>
      <top style="thin">
        <color rgb="FF505050"/>
      </top>
      <bottom style="double">
        <color rgb="FF505050"/>
      </bottom>
      <diagonal/>
    </border>
    <border>
      <left style="double">
        <color rgb="FF505050"/>
      </left>
      <right style="double">
        <color rgb="FF505050"/>
      </right>
      <top style="double">
        <color rgb="FF505050"/>
      </top>
      <bottom style="double">
        <color rgb="FF505050"/>
      </bottom>
      <diagonal/>
    </border>
    <border>
      <left style="double">
        <color rgb="FF505050"/>
      </left>
      <right style="thin">
        <color rgb="FF505050"/>
      </right>
      <top style="double">
        <color rgb="FF505050"/>
      </top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 style="double">
        <color rgb="FF505050"/>
      </top>
      <bottom style="double">
        <color rgb="FF505050"/>
      </bottom>
      <diagonal/>
    </border>
    <border>
      <left style="thin">
        <color rgb="FF505050"/>
      </left>
      <right style="double">
        <color rgb="FF505050"/>
      </right>
      <top style="double">
        <color rgb="FF505050"/>
      </top>
      <bottom style="double">
        <color rgb="FF505050"/>
      </bottom>
      <diagonal/>
    </border>
    <border>
      <left style="double">
        <color rgb="FF505050"/>
      </left>
      <right style="double">
        <color rgb="FF505050"/>
      </right>
      <top style="thin">
        <color rgb="FF505050"/>
      </top>
      <bottom/>
      <diagonal/>
    </border>
    <border>
      <left style="double">
        <color rgb="FF505050"/>
      </left>
      <right style="double">
        <color rgb="FF505050"/>
      </right>
      <top/>
      <bottom style="thin">
        <color rgb="FF505050"/>
      </bottom>
      <diagonal/>
    </border>
    <border>
      <left style="double">
        <color rgb="FF505050"/>
      </left>
      <right/>
      <top style="double">
        <color rgb="FF505050"/>
      </top>
      <bottom style="double">
        <color rgb="FF505050"/>
      </bottom>
      <diagonal/>
    </border>
    <border>
      <left/>
      <right style="double">
        <color rgb="FF505050"/>
      </right>
      <top style="double">
        <color rgb="FF505050"/>
      </top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 style="double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/>
      <diagonal/>
    </border>
    <border>
      <left/>
      <right/>
      <top style="double">
        <color rgb="FF505050"/>
      </top>
      <bottom style="double">
        <color rgb="FF505050"/>
      </bottom>
      <diagonal/>
    </border>
    <border>
      <left style="thin">
        <color rgb="FF505050"/>
      </left>
      <right/>
      <top style="double">
        <color rgb="FF505050"/>
      </top>
      <bottom style="double">
        <color rgb="FF505050"/>
      </bottom>
      <diagonal/>
    </border>
    <border>
      <left style="double">
        <color rgb="FF505050"/>
      </left>
      <right style="thin">
        <color rgb="FF505050"/>
      </right>
      <top/>
      <bottom style="double">
        <color rgb="FF505050"/>
      </bottom>
      <diagonal/>
    </border>
    <border>
      <left style="thin">
        <color rgb="FF505050"/>
      </left>
      <right style="double">
        <color rgb="FF505050"/>
      </right>
      <top/>
      <bottom style="double">
        <color rgb="FF505050"/>
      </bottom>
      <diagonal/>
    </border>
    <border>
      <left/>
      <right style="thin">
        <color rgb="FF505050"/>
      </right>
      <top/>
      <bottom style="double">
        <color rgb="FF505050"/>
      </bottom>
      <diagonal/>
    </border>
    <border>
      <left style="medium">
        <color rgb="FF50505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505050"/>
      </right>
      <top style="double">
        <color rgb="FF505050"/>
      </top>
      <bottom style="double">
        <color rgb="FF505050"/>
      </bottom>
      <diagonal/>
    </border>
    <border>
      <left style="double">
        <color rgb="FF505050"/>
      </left>
      <right style="double">
        <color rgb="FF505050"/>
      </right>
      <top/>
      <bottom style="double">
        <color rgb="FF505050"/>
      </bottom>
      <diagonal/>
    </border>
    <border>
      <left style="double">
        <color rgb="FF505050"/>
      </left>
      <right/>
      <top/>
      <bottom style="double">
        <color rgb="FF505050"/>
      </bottom>
      <diagonal/>
    </border>
    <border>
      <left/>
      <right style="double">
        <color rgb="FF505050"/>
      </right>
      <top/>
      <bottom style="double">
        <color rgb="FF505050"/>
      </bottom>
      <diagonal/>
    </border>
    <border>
      <left style="thin">
        <color indexed="64"/>
      </left>
      <right/>
      <top style="double">
        <color rgb="FF50505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 style="thin">
        <color indexed="64"/>
      </left>
      <right style="thin">
        <color rgb="FF505050"/>
      </right>
      <top style="thin">
        <color indexed="64"/>
      </top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505050"/>
      </right>
      <top/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indexed="64"/>
      </right>
      <top style="thin">
        <color rgb="FF505050"/>
      </top>
      <bottom/>
      <diagonal/>
    </border>
    <border>
      <left style="thin">
        <color rgb="FF505050"/>
      </left>
      <right style="thin">
        <color indexed="64"/>
      </right>
      <top/>
      <bottom/>
      <diagonal/>
    </border>
    <border>
      <left style="thin">
        <color rgb="FF505050"/>
      </left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thin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/>
      <top/>
      <bottom style="thin">
        <color rgb="FF505050"/>
      </bottom>
      <diagonal/>
    </border>
    <border>
      <left/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4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/>
    <xf numFmtId="166" fontId="3" fillId="4" borderId="1" xfId="0" applyNumberFormat="1" applyFont="1" applyFill="1" applyBorder="1" applyAlignment="1">
      <alignment horizontal="center"/>
    </xf>
    <xf numFmtId="0" fontId="1" fillId="0" borderId="6" xfId="0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wrapText="1"/>
    </xf>
    <xf numFmtId="0" fontId="1" fillId="10" borderId="6" xfId="0" applyFont="1" applyFill="1" applyBorder="1" applyAlignment="1">
      <alignment wrapText="1"/>
    </xf>
    <xf numFmtId="0" fontId="0" fillId="1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7" fontId="3" fillId="4" borderId="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wrapText="1"/>
    </xf>
    <xf numFmtId="0" fontId="1" fillId="14" borderId="6" xfId="0" applyFont="1" applyFill="1" applyBorder="1" applyAlignment="1">
      <alignment wrapText="1"/>
    </xf>
    <xf numFmtId="0" fontId="1" fillId="14" borderId="3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7" fontId="8" fillId="10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wrapText="1"/>
    </xf>
    <xf numFmtId="0" fontId="1" fillId="8" borderId="15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wrapText="1"/>
    </xf>
    <xf numFmtId="0" fontId="13" fillId="18" borderId="1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wrapText="1"/>
    </xf>
    <xf numFmtId="0" fontId="0" fillId="19" borderId="6" xfId="0" applyFill="1" applyBorder="1" applyAlignment="1">
      <alignment wrapText="1"/>
    </xf>
    <xf numFmtId="0" fontId="1" fillId="20" borderId="6" xfId="0" applyFont="1" applyFill="1" applyBorder="1" applyAlignment="1">
      <alignment wrapText="1"/>
    </xf>
    <xf numFmtId="0" fontId="1" fillId="21" borderId="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4" fillId="14" borderId="6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wrapText="1"/>
    </xf>
    <xf numFmtId="0" fontId="1" fillId="23" borderId="6" xfId="0" applyFont="1" applyFill="1" applyBorder="1" applyAlignment="1">
      <alignment wrapText="1"/>
    </xf>
    <xf numFmtId="0" fontId="0" fillId="2" borderId="6" xfId="0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168" fontId="3" fillId="4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0" xfId="0" applyFill="1"/>
    <xf numFmtId="0" fontId="1" fillId="14" borderId="7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0" fillId="14" borderId="0" xfId="0" applyFill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/>
    </xf>
    <xf numFmtId="166" fontId="19" fillId="16" borderId="32" xfId="0" applyNumberFormat="1" applyFont="1" applyFill="1" applyBorder="1" applyAlignment="1">
      <alignment horizontal="center" vertical="center"/>
    </xf>
    <xf numFmtId="166" fontId="19" fillId="16" borderId="10" xfId="0" applyNumberFormat="1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166" fontId="20" fillId="26" borderId="32" xfId="0" applyNumberFormat="1" applyFont="1" applyFill="1" applyBorder="1" applyAlignment="1">
      <alignment horizontal="center" vertical="center"/>
    </xf>
    <xf numFmtId="166" fontId="20" fillId="10" borderId="33" xfId="0" applyNumberFormat="1" applyFont="1" applyFill="1" applyBorder="1" applyAlignment="1">
      <alignment horizontal="center" vertical="center"/>
    </xf>
    <xf numFmtId="166" fontId="20" fillId="26" borderId="10" xfId="0" applyNumberFormat="1" applyFont="1" applyFill="1" applyBorder="1" applyAlignment="1">
      <alignment horizontal="center" vertical="center"/>
    </xf>
    <xf numFmtId="166" fontId="20" fillId="10" borderId="12" xfId="0" applyNumberFormat="1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166" fontId="19" fillId="10" borderId="15" xfId="0" applyNumberFormat="1" applyFont="1" applyFill="1" applyBorder="1" applyAlignment="1">
      <alignment horizontal="center" vertical="center"/>
    </xf>
    <xf numFmtId="166" fontId="19" fillId="10" borderId="36" xfId="0" applyNumberFormat="1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166" fontId="8" fillId="2" borderId="38" xfId="0" applyNumberFormat="1" applyFont="1" applyFill="1" applyBorder="1" applyAlignment="1">
      <alignment horizontal="center" vertical="center"/>
    </xf>
    <xf numFmtId="166" fontId="8" fillId="2" borderId="40" xfId="0" applyNumberFormat="1" applyFont="1" applyFill="1" applyBorder="1" applyAlignment="1">
      <alignment horizontal="center" vertical="center"/>
    </xf>
    <xf numFmtId="166" fontId="8" fillId="27" borderId="41" xfId="0" applyNumberFormat="1" applyFont="1" applyFill="1" applyBorder="1" applyAlignment="1">
      <alignment horizontal="center" vertical="center"/>
    </xf>
    <xf numFmtId="166" fontId="8" fillId="21" borderId="38" xfId="0" applyNumberFormat="1" applyFont="1" applyFill="1" applyBorder="1" applyAlignment="1">
      <alignment horizontal="center" vertical="center"/>
    </xf>
    <xf numFmtId="166" fontId="8" fillId="20" borderId="39" xfId="0" applyNumberFormat="1" applyFont="1" applyFill="1" applyBorder="1" applyAlignment="1">
      <alignment horizontal="center" vertical="center"/>
    </xf>
    <xf numFmtId="166" fontId="8" fillId="14" borderId="39" xfId="0" applyNumberFormat="1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 wrapText="1"/>
    </xf>
    <xf numFmtId="166" fontId="12" fillId="20" borderId="21" xfId="0" applyNumberFormat="1" applyFont="1" applyFill="1" applyBorder="1" applyAlignment="1">
      <alignment horizontal="center" vertical="center" wrapText="1"/>
    </xf>
    <xf numFmtId="166" fontId="12" fillId="20" borderId="6" xfId="0" applyNumberFormat="1" applyFont="1" applyFill="1" applyBorder="1" applyAlignment="1">
      <alignment horizontal="center" vertical="center" wrapText="1"/>
    </xf>
    <xf numFmtId="166" fontId="8" fillId="20" borderId="6" xfId="0" applyNumberFormat="1" applyFont="1" applyFill="1" applyBorder="1" applyAlignment="1">
      <alignment horizontal="center" vertical="center" wrapText="1"/>
    </xf>
    <xf numFmtId="166" fontId="12" fillId="21" borderId="21" xfId="0" applyNumberFormat="1" applyFont="1" applyFill="1" applyBorder="1" applyAlignment="1">
      <alignment horizontal="center" vertical="center" wrapText="1"/>
    </xf>
    <xf numFmtId="166" fontId="12" fillId="21" borderId="6" xfId="0" applyNumberFormat="1" applyFont="1" applyFill="1" applyBorder="1" applyAlignment="1">
      <alignment horizontal="center" vertical="center" wrapText="1"/>
    </xf>
    <xf numFmtId="166" fontId="8" fillId="21" borderId="6" xfId="0" applyNumberFormat="1" applyFont="1" applyFill="1" applyBorder="1" applyAlignment="1">
      <alignment horizontal="center" vertical="center" wrapText="1"/>
    </xf>
    <xf numFmtId="166" fontId="8" fillId="27" borderId="21" xfId="0" applyNumberFormat="1" applyFont="1" applyFill="1" applyBorder="1" applyAlignment="1">
      <alignment horizontal="center" vertical="center" wrapText="1"/>
    </xf>
    <xf numFmtId="166" fontId="12" fillId="27" borderId="6" xfId="0" applyNumberFormat="1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center" vertical="center" wrapText="1"/>
    </xf>
    <xf numFmtId="166" fontId="8" fillId="2" borderId="21" xfId="0" applyNumberFormat="1" applyFont="1" applyFill="1" applyBorder="1" applyAlignment="1">
      <alignment horizontal="center" vertical="center" wrapText="1"/>
    </xf>
    <xf numFmtId="166" fontId="12" fillId="2" borderId="6" xfId="0" applyNumberFormat="1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166" fontId="8" fillId="14" borderId="45" xfId="0" applyNumberFormat="1" applyFont="1" applyFill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/>
    </xf>
    <xf numFmtId="166" fontId="8" fillId="20" borderId="46" xfId="0" applyNumberFormat="1" applyFont="1" applyFill="1" applyBorder="1" applyAlignment="1">
      <alignment horizontal="center" vertical="center"/>
    </xf>
    <xf numFmtId="166" fontId="12" fillId="20" borderId="28" xfId="0" applyNumberFormat="1" applyFont="1" applyFill="1" applyBorder="1" applyAlignment="1">
      <alignment horizontal="center" vertical="center" wrapText="1"/>
    </xf>
    <xf numFmtId="166" fontId="12" fillId="20" borderId="25" xfId="0" applyNumberFormat="1" applyFont="1" applyFill="1" applyBorder="1" applyAlignment="1">
      <alignment horizontal="center" vertical="center" wrapText="1"/>
    </xf>
    <xf numFmtId="166" fontId="8" fillId="20" borderId="25" xfId="0" applyNumberFormat="1" applyFont="1" applyFill="1" applyBorder="1" applyAlignment="1">
      <alignment horizontal="center" vertical="center" wrapText="1"/>
    </xf>
    <xf numFmtId="166" fontId="8" fillId="20" borderId="45" xfId="0" applyNumberFormat="1" applyFont="1" applyFill="1" applyBorder="1" applyAlignment="1">
      <alignment horizontal="center" vertical="center"/>
    </xf>
    <xf numFmtId="166" fontId="12" fillId="20" borderId="24" xfId="0" applyNumberFormat="1" applyFont="1" applyFill="1" applyBorder="1" applyAlignment="1">
      <alignment horizontal="center" vertical="center" wrapText="1"/>
    </xf>
    <xf numFmtId="166" fontId="12" fillId="20" borderId="34" xfId="0" applyNumberFormat="1" applyFont="1" applyFill="1" applyBorder="1" applyAlignment="1">
      <alignment horizontal="center" vertical="center" wrapText="1"/>
    </xf>
    <xf numFmtId="166" fontId="8" fillId="20" borderId="34" xfId="0" applyNumberFormat="1" applyFont="1" applyFill="1" applyBorder="1" applyAlignment="1">
      <alignment horizontal="center" vertical="center" wrapText="1"/>
    </xf>
    <xf numFmtId="166" fontId="8" fillId="21" borderId="46" xfId="0" applyNumberFormat="1" applyFont="1" applyFill="1" applyBorder="1" applyAlignment="1">
      <alignment horizontal="center" vertical="center"/>
    </xf>
    <xf numFmtId="166" fontId="12" fillId="21" borderId="28" xfId="0" applyNumberFormat="1" applyFont="1" applyFill="1" applyBorder="1" applyAlignment="1">
      <alignment horizontal="center" vertical="center" wrapText="1"/>
    </xf>
    <xf numFmtId="166" fontId="12" fillId="21" borderId="25" xfId="0" applyNumberFormat="1" applyFont="1" applyFill="1" applyBorder="1" applyAlignment="1">
      <alignment horizontal="center" vertical="center" wrapText="1"/>
    </xf>
    <xf numFmtId="166" fontId="8" fillId="21" borderId="25" xfId="0" applyNumberFormat="1" applyFont="1" applyFill="1" applyBorder="1" applyAlignment="1">
      <alignment horizontal="center" vertical="center" wrapText="1"/>
    </xf>
    <xf numFmtId="0" fontId="14" fillId="2" borderId="47" xfId="0" applyFont="1" applyFill="1" applyBorder="1"/>
    <xf numFmtId="0" fontId="8" fillId="14" borderId="6" xfId="0" applyFont="1" applyFill="1" applyBorder="1" applyAlignment="1">
      <alignment vertical="center" wrapText="1"/>
    </xf>
    <xf numFmtId="0" fontId="8" fillId="14" borderId="34" xfId="0" applyFont="1" applyFill="1" applyBorder="1" applyAlignment="1">
      <alignment vertical="center" wrapText="1"/>
    </xf>
    <xf numFmtId="0" fontId="8" fillId="20" borderId="25" xfId="0" applyFont="1" applyFill="1" applyBorder="1" applyAlignment="1">
      <alignment vertical="center" wrapText="1"/>
    </xf>
    <xf numFmtId="0" fontId="8" fillId="20" borderId="6" xfId="0" applyFont="1" applyFill="1" applyBorder="1" applyAlignment="1">
      <alignment vertical="center" wrapText="1"/>
    </xf>
    <xf numFmtId="0" fontId="8" fillId="20" borderId="34" xfId="0" applyFont="1" applyFill="1" applyBorder="1" applyAlignment="1">
      <alignment vertical="center" wrapText="1"/>
    </xf>
    <xf numFmtId="0" fontId="8" fillId="21" borderId="25" xfId="0" applyFont="1" applyFill="1" applyBorder="1" applyAlignment="1">
      <alignment vertical="center" wrapText="1"/>
    </xf>
    <xf numFmtId="0" fontId="8" fillId="21" borderId="6" xfId="0" applyFont="1" applyFill="1" applyBorder="1" applyAlignment="1">
      <alignment vertical="center" wrapText="1"/>
    </xf>
    <xf numFmtId="0" fontId="8" fillId="27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14" borderId="37" xfId="0" applyFont="1" applyFill="1" applyBorder="1" applyAlignment="1">
      <alignment horizontal="center" vertical="center"/>
    </xf>
    <xf numFmtId="0" fontId="13" fillId="18" borderId="49" xfId="0" applyFont="1" applyFill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3" fillId="18" borderId="11" xfId="0" applyFont="1" applyFill="1" applyBorder="1" applyAlignment="1">
      <alignment vertical="center" wrapText="1"/>
    </xf>
    <xf numFmtId="0" fontId="1" fillId="14" borderId="50" xfId="0" applyFont="1" applyFill="1" applyBorder="1" applyAlignment="1">
      <alignment horizontal="center" vertical="center"/>
    </xf>
    <xf numFmtId="0" fontId="1" fillId="14" borderId="37" xfId="0" applyFont="1" applyFill="1" applyBorder="1" applyAlignment="1">
      <alignment vertical="center" wrapText="1"/>
    </xf>
    <xf numFmtId="166" fontId="12" fillId="14" borderId="37" xfId="0" applyNumberFormat="1" applyFont="1" applyFill="1" applyBorder="1" applyAlignment="1">
      <alignment horizontal="center" vertical="center" wrapText="1"/>
    </xf>
    <xf numFmtId="166" fontId="8" fillId="14" borderId="37" xfId="0" applyNumberFormat="1" applyFont="1" applyFill="1" applyBorder="1" applyAlignment="1">
      <alignment horizontal="center" vertical="center" wrapText="1"/>
    </xf>
    <xf numFmtId="166" fontId="24" fillId="14" borderId="37" xfId="0" applyNumberFormat="1" applyFont="1" applyFill="1" applyBorder="1" applyAlignment="1">
      <alignment horizontal="center" vertical="center" wrapText="1"/>
    </xf>
    <xf numFmtId="166" fontId="8" fillId="14" borderId="51" xfId="0" applyNumberFormat="1" applyFont="1" applyFill="1" applyBorder="1" applyAlignment="1">
      <alignment horizontal="center" vertical="center" wrapText="1"/>
    </xf>
    <xf numFmtId="0" fontId="8" fillId="23" borderId="34" xfId="0" applyFont="1" applyFill="1" applyBorder="1" applyAlignment="1">
      <alignment horizontal="center" vertical="center" wrapText="1"/>
    </xf>
    <xf numFmtId="0" fontId="8" fillId="24" borderId="3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" fillId="20" borderId="6" xfId="0" applyFont="1" applyFill="1" applyBorder="1" applyAlignment="1">
      <alignment vertical="center" wrapText="1"/>
    </xf>
    <xf numFmtId="166" fontId="12" fillId="23" borderId="6" xfId="0" applyNumberFormat="1" applyFont="1" applyFill="1" applyBorder="1" applyAlignment="1">
      <alignment horizontal="center" vertical="center" wrapText="1"/>
    </xf>
    <xf numFmtId="166" fontId="8" fillId="10" borderId="6" xfId="0" applyNumberFormat="1" applyFont="1" applyFill="1" applyBorder="1" applyAlignment="1">
      <alignment horizontal="center" vertical="center" wrapText="1"/>
    </xf>
    <xf numFmtId="166" fontId="24" fillId="3" borderId="6" xfId="0" applyNumberFormat="1" applyFont="1" applyFill="1" applyBorder="1" applyAlignment="1">
      <alignment horizontal="center" vertical="center" wrapText="1"/>
    </xf>
    <xf numFmtId="166" fontId="8" fillId="24" borderId="6" xfId="0" applyNumberFormat="1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66" fontId="12" fillId="5" borderId="6" xfId="0" applyNumberFormat="1" applyFont="1" applyFill="1" applyBorder="1" applyAlignment="1">
      <alignment horizontal="center" vertical="center"/>
    </xf>
    <xf numFmtId="166" fontId="12" fillId="25" borderId="6" xfId="0" applyNumberFormat="1" applyFont="1" applyFill="1" applyBorder="1" applyAlignment="1">
      <alignment horizontal="center" vertical="center"/>
    </xf>
    <xf numFmtId="166" fontId="12" fillId="16" borderId="15" xfId="0" applyNumberFormat="1" applyFont="1" applyFill="1" applyBorder="1" applyAlignment="1">
      <alignment horizontal="center" vertical="center"/>
    </xf>
    <xf numFmtId="166" fontId="12" fillId="26" borderId="6" xfId="0" applyNumberFormat="1" applyFont="1" applyFill="1" applyBorder="1" applyAlignment="1">
      <alignment horizontal="center" vertical="center"/>
    </xf>
    <xf numFmtId="166" fontId="12" fillId="5" borderId="25" xfId="0" applyNumberFormat="1" applyFont="1" applyFill="1" applyBorder="1" applyAlignment="1">
      <alignment horizontal="center" vertical="center"/>
    </xf>
    <xf numFmtId="166" fontId="12" fillId="16" borderId="26" xfId="0" applyNumberFormat="1" applyFont="1" applyFill="1" applyBorder="1" applyAlignment="1">
      <alignment horizontal="center" vertical="center"/>
    </xf>
    <xf numFmtId="166" fontId="12" fillId="26" borderId="25" xfId="0" applyNumberFormat="1" applyFont="1" applyFill="1" applyBorder="1" applyAlignment="1">
      <alignment horizontal="center" vertical="center"/>
    </xf>
    <xf numFmtId="166" fontId="12" fillId="25" borderId="25" xfId="0" applyNumberFormat="1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/>
    </xf>
    <xf numFmtId="0" fontId="25" fillId="16" borderId="55" xfId="0" applyFont="1" applyFill="1" applyBorder="1" applyAlignment="1">
      <alignment horizontal="center" vertical="center"/>
    </xf>
    <xf numFmtId="0" fontId="25" fillId="26" borderId="56" xfId="0" applyFont="1" applyFill="1" applyBorder="1" applyAlignment="1">
      <alignment horizontal="center" vertical="center"/>
    </xf>
    <xf numFmtId="0" fontId="25" fillId="25" borderId="5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wrapText="1"/>
    </xf>
    <xf numFmtId="0" fontId="1" fillId="22" borderId="1" xfId="0" applyFont="1" applyFill="1" applyBorder="1" applyAlignment="1">
      <alignment wrapText="1"/>
    </xf>
    <xf numFmtId="0" fontId="0" fillId="2" borderId="47" xfId="0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14" borderId="3" xfId="0" applyFont="1" applyFill="1" applyBorder="1" applyAlignment="1">
      <alignment horizontal="left" vertical="center" wrapText="1"/>
    </xf>
    <xf numFmtId="0" fontId="8" fillId="14" borderId="25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center" vertical="center" wrapText="1"/>
    </xf>
    <xf numFmtId="166" fontId="15" fillId="30" borderId="6" xfId="0" applyNumberFormat="1" applyFont="1" applyFill="1" applyBorder="1" applyAlignment="1">
      <alignment horizontal="center" vertical="center" wrapText="1"/>
    </xf>
    <xf numFmtId="166" fontId="15" fillId="14" borderId="6" xfId="0" applyNumberFormat="1" applyFont="1" applyFill="1" applyBorder="1" applyAlignment="1">
      <alignment horizontal="center" vertical="center" wrapText="1"/>
    </xf>
    <xf numFmtId="166" fontId="15" fillId="30" borderId="25" xfId="0" applyNumberFormat="1" applyFont="1" applyFill="1" applyBorder="1" applyAlignment="1">
      <alignment horizontal="center" vertical="center" wrapText="1"/>
    </xf>
    <xf numFmtId="166" fontId="15" fillId="14" borderId="25" xfId="0" applyNumberFormat="1" applyFont="1" applyFill="1" applyBorder="1" applyAlignment="1">
      <alignment horizontal="center" vertical="center" wrapText="1"/>
    </xf>
    <xf numFmtId="0" fontId="26" fillId="29" borderId="6" xfId="0" applyFont="1" applyFill="1" applyBorder="1" applyAlignment="1">
      <alignment horizontal="center" vertical="center" wrapText="1"/>
    </xf>
    <xf numFmtId="0" fontId="26" fillId="20" borderId="6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21" borderId="6" xfId="0" applyFont="1" applyFill="1" applyBorder="1" applyAlignment="1">
      <alignment horizontal="center" vertical="center" wrapText="1"/>
    </xf>
    <xf numFmtId="166" fontId="26" fillId="29" borderId="6" xfId="0" applyNumberFormat="1" applyFont="1" applyFill="1" applyBorder="1" applyAlignment="1">
      <alignment horizontal="center" vertical="center" wrapText="1"/>
    </xf>
    <xf numFmtId="166" fontId="26" fillId="20" borderId="6" xfId="0" applyNumberFormat="1" applyFont="1" applyFill="1" applyBorder="1" applyAlignment="1">
      <alignment horizontal="center" vertical="center" wrapText="1"/>
    </xf>
    <xf numFmtId="166" fontId="26" fillId="7" borderId="6" xfId="0" applyNumberFormat="1" applyFont="1" applyFill="1" applyBorder="1" applyAlignment="1">
      <alignment horizontal="center" vertical="center" wrapText="1"/>
    </xf>
    <xf numFmtId="166" fontId="26" fillId="21" borderId="6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14" borderId="6" xfId="0" applyFont="1" applyFill="1" applyBorder="1" applyAlignment="1">
      <alignment horizontal="center" vertical="center"/>
    </xf>
    <xf numFmtId="0" fontId="27" fillId="0" borderId="0" xfId="1" applyNumberFormat="1"/>
    <xf numFmtId="0" fontId="1" fillId="0" borderId="3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0" fillId="0" borderId="0" xfId="0" applyAlignment="1"/>
    <xf numFmtId="0" fontId="1" fillId="26" borderId="6" xfId="0" applyFont="1" applyFill="1" applyBorder="1" applyAlignment="1">
      <alignment wrapText="1"/>
    </xf>
    <xf numFmtId="166" fontId="8" fillId="26" borderId="6" xfId="0" applyNumberFormat="1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/>
    </xf>
    <xf numFmtId="0" fontId="1" fillId="14" borderId="6" xfId="0" applyFont="1" applyFill="1" applyBorder="1" applyAlignment="1">
      <alignment vertical="center" wrapText="1"/>
    </xf>
    <xf numFmtId="167" fontId="8" fillId="0" borderId="6" xfId="0" applyNumberFormat="1" applyFont="1" applyBorder="1" applyAlignment="1">
      <alignment horizontal="center"/>
    </xf>
    <xf numFmtId="167" fontId="8" fillId="0" borderId="25" xfId="0" applyNumberFormat="1" applyFont="1" applyBorder="1" applyAlignment="1">
      <alignment horizontal="center"/>
    </xf>
    <xf numFmtId="0" fontId="1" fillId="31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" fontId="1" fillId="14" borderId="6" xfId="0" applyNumberFormat="1" applyFont="1" applyFill="1" applyBorder="1" applyAlignment="1">
      <alignment horizontal="center" vertical="center" wrapText="1"/>
    </xf>
    <xf numFmtId="1" fontId="1" fillId="14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6" fontId="8" fillId="0" borderId="6" xfId="0" applyNumberFormat="1" applyFont="1" applyBorder="1" applyAlignment="1"/>
    <xf numFmtId="166" fontId="8" fillId="0" borderId="6" xfId="0" applyNumberFormat="1" applyFont="1" applyBorder="1"/>
    <xf numFmtId="166" fontId="8" fillId="0" borderId="0" xfId="0" applyNumberFormat="1" applyFont="1"/>
    <xf numFmtId="0" fontId="0" fillId="0" borderId="0" xfId="0" applyBorder="1"/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166" fontId="8" fillId="3" borderId="6" xfId="0" applyNumberFormat="1" applyFont="1" applyFill="1" applyBorder="1"/>
    <xf numFmtId="166" fontId="8" fillId="29" borderId="6" xfId="0" applyNumberFormat="1" applyFont="1" applyFill="1" applyBorder="1" applyAlignment="1"/>
    <xf numFmtId="0" fontId="0" fillId="29" borderId="6" xfId="0" applyFill="1" applyBorder="1" applyAlignment="1">
      <alignment horizontal="center" vertical="center"/>
    </xf>
    <xf numFmtId="0" fontId="0" fillId="29" borderId="6" xfId="0" applyFill="1" applyBorder="1" applyAlignment="1">
      <alignment wrapText="1"/>
    </xf>
    <xf numFmtId="0" fontId="1" fillId="29" borderId="6" xfId="0" applyFont="1" applyFill="1" applyBorder="1" applyAlignment="1">
      <alignment horizontal="center" vertical="center"/>
    </xf>
    <xf numFmtId="166" fontId="8" fillId="29" borderId="6" xfId="0" applyNumberFormat="1" applyFont="1" applyFill="1" applyBorder="1"/>
    <xf numFmtId="0" fontId="27" fillId="21" borderId="58" xfId="2" applyFill="1" applyBorder="1" applyAlignment="1">
      <alignment horizontal="center" vertical="center" wrapText="1"/>
    </xf>
    <xf numFmtId="16" fontId="27" fillId="0" borderId="6" xfId="2" applyNumberFormat="1" applyBorder="1"/>
    <xf numFmtId="0" fontId="27" fillId="0" borderId="6" xfId="2" applyNumberFormat="1" applyBorder="1"/>
    <xf numFmtId="0" fontId="0" fillId="0" borderId="6" xfId="0" applyNumberFormat="1" applyBorder="1"/>
    <xf numFmtId="0" fontId="16" fillId="2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7" fillId="0" borderId="6" xfId="1" applyNumberFormat="1" applyBorder="1"/>
    <xf numFmtId="166" fontId="8" fillId="0" borderId="0" xfId="0" applyNumberFormat="1" applyFont="1" applyAlignment="1">
      <alignment horizontal="center" wrapText="1"/>
    </xf>
    <xf numFmtId="0" fontId="1" fillId="23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30" borderId="6" xfId="0" applyFont="1" applyFill="1" applyBorder="1" applyAlignment="1">
      <alignment vertical="center" wrapText="1"/>
    </xf>
    <xf numFmtId="0" fontId="1" fillId="13" borderId="6" xfId="0" applyFont="1" applyFill="1" applyBorder="1" applyAlignment="1">
      <alignment vertical="center" wrapText="1"/>
    </xf>
    <xf numFmtId="0" fontId="1" fillId="33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166" fontId="8" fillId="0" borderId="6" xfId="0" applyNumberFormat="1" applyFont="1" applyBorder="1" applyAlignment="1">
      <alignment vertical="center" wrapText="1"/>
    </xf>
    <xf numFmtId="0" fontId="0" fillId="30" borderId="6" xfId="0" applyFill="1" applyBorder="1" applyAlignment="1">
      <alignment vertical="center"/>
    </xf>
    <xf numFmtId="166" fontId="8" fillId="30" borderId="6" xfId="0" applyNumberFormat="1" applyFont="1" applyFill="1" applyBorder="1" applyAlignment="1">
      <alignment vertical="center" wrapText="1"/>
    </xf>
    <xf numFmtId="0" fontId="0" fillId="13" borderId="6" xfId="0" applyFill="1" applyBorder="1" applyAlignment="1">
      <alignment vertical="center"/>
    </xf>
    <xf numFmtId="166" fontId="8" fillId="13" borderId="6" xfId="0" applyNumberFormat="1" applyFont="1" applyFill="1" applyBorder="1" applyAlignment="1">
      <alignment vertical="center" wrapText="1"/>
    </xf>
    <xf numFmtId="0" fontId="0" fillId="33" borderId="6" xfId="0" applyFill="1" applyBorder="1" applyAlignment="1">
      <alignment vertical="center"/>
    </xf>
    <xf numFmtId="166" fontId="8" fillId="33" borderId="6" xfId="0" applyNumberFormat="1" applyFont="1" applyFill="1" applyBorder="1" applyAlignment="1">
      <alignment vertical="center" wrapText="1"/>
    </xf>
    <xf numFmtId="0" fontId="13" fillId="14" borderId="0" xfId="0" applyFont="1" applyFill="1" applyBorder="1" applyAlignment="1">
      <alignment vertical="center" wrapText="1"/>
    </xf>
    <xf numFmtId="166" fontId="8" fillId="14" borderId="0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wrapText="1"/>
    </xf>
    <xf numFmtId="0" fontId="1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0" fillId="19" borderId="1" xfId="0" applyFill="1" applyBorder="1" applyAlignment="1">
      <alignment horizontal="center" wrapText="1"/>
    </xf>
    <xf numFmtId="0" fontId="0" fillId="19" borderId="65" xfId="0" applyFill="1" applyBorder="1" applyAlignment="1">
      <alignment wrapText="1"/>
    </xf>
    <xf numFmtId="0" fontId="21" fillId="0" borderId="66" xfId="0" applyFont="1" applyBorder="1" applyAlignment="1">
      <alignment horizontal="center" wrapText="1"/>
    </xf>
    <xf numFmtId="169" fontId="32" fillId="0" borderId="67" xfId="0" applyNumberFormat="1" applyFont="1" applyBorder="1" applyAlignment="1">
      <alignment wrapText="1"/>
    </xf>
    <xf numFmtId="169" fontId="0" fillId="0" borderId="1" xfId="0" applyNumberForma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27" fillId="21" borderId="68" xfId="2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vertical="center" wrapText="1"/>
    </xf>
    <xf numFmtId="0" fontId="1" fillId="25" borderId="6" xfId="0" applyFont="1" applyFill="1" applyBorder="1" applyAlignment="1">
      <alignment horizontal="center" vertical="center"/>
    </xf>
    <xf numFmtId="0" fontId="1" fillId="25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vertical="center" wrapText="1"/>
    </xf>
    <xf numFmtId="0" fontId="1" fillId="22" borderId="6" xfId="0" applyFont="1" applyFill="1" applyBorder="1" applyAlignment="1">
      <alignment horizontal="center" vertical="center"/>
    </xf>
    <xf numFmtId="0" fontId="1" fillId="22" borderId="6" xfId="0" applyFont="1" applyFill="1" applyBorder="1" applyAlignment="1">
      <alignment vertical="center" wrapText="1"/>
    </xf>
    <xf numFmtId="166" fontId="11" fillId="20" borderId="6" xfId="0" applyNumberFormat="1" applyFont="1" applyFill="1" applyBorder="1" applyAlignment="1">
      <alignment horizontal="center" vertical="center" wrapText="1"/>
    </xf>
    <xf numFmtId="166" fontId="11" fillId="8" borderId="6" xfId="0" applyNumberFormat="1" applyFont="1" applyFill="1" applyBorder="1" applyAlignment="1">
      <alignment horizontal="center" vertical="center" wrapText="1"/>
    </xf>
    <xf numFmtId="166" fontId="11" fillId="25" borderId="6" xfId="0" applyNumberFormat="1" applyFont="1" applyFill="1" applyBorder="1" applyAlignment="1">
      <alignment horizontal="center" vertical="center" wrapText="1"/>
    </xf>
    <xf numFmtId="166" fontId="11" fillId="7" borderId="6" xfId="0" applyNumberFormat="1" applyFont="1" applyFill="1" applyBorder="1" applyAlignment="1">
      <alignment horizontal="center" vertical="center" wrapText="1"/>
    </xf>
    <xf numFmtId="166" fontId="11" fillId="14" borderId="6" xfId="0" applyNumberFormat="1" applyFont="1" applyFill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7" fillId="21" borderId="73" xfId="2" applyFill="1" applyBorder="1" applyAlignment="1">
      <alignment horizontal="center" vertical="center" wrapText="1"/>
    </xf>
    <xf numFmtId="166" fontId="11" fillId="34" borderId="6" xfId="0" applyNumberFormat="1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35" borderId="6" xfId="0" applyFont="1" applyFill="1" applyBorder="1" applyAlignment="1">
      <alignment horizontal="center" vertical="center" wrapText="1"/>
    </xf>
    <xf numFmtId="0" fontId="1" fillId="36" borderId="6" xfId="0" applyFont="1" applyFill="1" applyBorder="1" applyAlignment="1">
      <alignment horizontal="center" vertical="center"/>
    </xf>
    <xf numFmtId="0" fontId="1" fillId="36" borderId="6" xfId="0" applyFont="1" applyFill="1" applyBorder="1" applyAlignment="1">
      <alignment wrapText="1"/>
    </xf>
    <xf numFmtId="0" fontId="0" fillId="36" borderId="6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" fillId="37" borderId="6" xfId="0" applyFont="1" applyFill="1" applyBorder="1" applyAlignment="1">
      <alignment horizontal="center" vertical="center"/>
    </xf>
    <xf numFmtId="0" fontId="1" fillId="37" borderId="6" xfId="0" applyFont="1" applyFill="1" applyBorder="1" applyAlignment="1">
      <alignment wrapText="1"/>
    </xf>
    <xf numFmtId="0" fontId="0" fillId="37" borderId="6" xfId="0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wrapText="1"/>
    </xf>
    <xf numFmtId="0" fontId="0" fillId="7" borderId="6" xfId="0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wrapText="1"/>
    </xf>
    <xf numFmtId="0" fontId="0" fillId="11" borderId="6" xfId="0" applyFill="1" applyBorder="1" applyAlignment="1">
      <alignment horizontal="center" vertical="center"/>
    </xf>
    <xf numFmtId="166" fontId="11" fillId="35" borderId="6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4" fontId="11" fillId="14" borderId="0" xfId="0" applyNumberFormat="1" applyFont="1" applyFill="1" applyAlignment="1">
      <alignment horizontal="center" vertical="center" wrapText="1"/>
    </xf>
    <xf numFmtId="2" fontId="0" fillId="14" borderId="0" xfId="0" applyNumberFormat="1" applyFill="1"/>
    <xf numFmtId="1" fontId="0" fillId="14" borderId="0" xfId="0" applyNumberFormat="1" applyFill="1"/>
    <xf numFmtId="0" fontId="0" fillId="0" borderId="0" xfId="0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67" fontId="1" fillId="0" borderId="6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67" fontId="1" fillId="0" borderId="6" xfId="0" applyNumberFormat="1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/>
    </xf>
    <xf numFmtId="0" fontId="1" fillId="24" borderId="6" xfId="0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 wrapText="1"/>
    </xf>
    <xf numFmtId="1" fontId="0" fillId="14" borderId="1" xfId="0" applyNumberFormat="1" applyFill="1" applyBorder="1"/>
    <xf numFmtId="0" fontId="1" fillId="14" borderId="0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 wrapText="1"/>
    </xf>
    <xf numFmtId="0" fontId="1" fillId="20" borderId="7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7" fillId="21" borderId="0" xfId="2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23" borderId="6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2" fontId="21" fillId="2" borderId="0" xfId="0" applyNumberFormat="1" applyFont="1" applyFill="1" applyAlignment="1">
      <alignment horizontal="center" vertical="center"/>
    </xf>
    <xf numFmtId="2" fontId="1" fillId="13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33" borderId="0" xfId="0" applyNumberFormat="1" applyFill="1" applyAlignment="1">
      <alignment wrapText="1"/>
    </xf>
    <xf numFmtId="2" fontId="0" fillId="0" borderId="0" xfId="0" applyNumberFormat="1"/>
    <xf numFmtId="170" fontId="0" fillId="2" borderId="25" xfId="0" applyNumberFormat="1" applyFill="1" applyBorder="1" applyAlignment="1">
      <alignment horizontal="center" vertical="center" wrapText="1"/>
    </xf>
    <xf numFmtId="170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36" fillId="4" borderId="1" xfId="0" applyFont="1" applyFill="1" applyBorder="1" applyAlignment="1">
      <alignment wrapText="1"/>
    </xf>
    <xf numFmtId="170" fontId="0" fillId="6" borderId="1" xfId="0" applyNumberFormat="1" applyFill="1" applyBorder="1" applyAlignment="1">
      <alignment horizontal="center"/>
    </xf>
    <xf numFmtId="169" fontId="0" fillId="6" borderId="1" xfId="0" applyNumberFormat="1" applyFill="1" applyBorder="1"/>
    <xf numFmtId="170" fontId="0" fillId="0" borderId="0" xfId="0" applyNumberFormat="1"/>
    <xf numFmtId="0" fontId="0" fillId="0" borderId="0" xfId="0" applyBorder="1" applyAlignment="1">
      <alignment horizontal="center" vertical="center" wrapText="1"/>
    </xf>
    <xf numFmtId="171" fontId="0" fillId="0" borderId="0" xfId="0" applyNumberFormat="1" applyBorder="1"/>
    <xf numFmtId="172" fontId="0" fillId="0" borderId="0" xfId="0" applyNumberFormat="1" applyBorder="1"/>
    <xf numFmtId="49" fontId="0" fillId="0" borderId="0" xfId="0" applyNumberFormat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14" borderId="34" xfId="0" applyFont="1" applyFill="1" applyBorder="1" applyAlignment="1">
      <alignment wrapText="1"/>
    </xf>
    <xf numFmtId="165" fontId="3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27" fillId="21" borderId="6" xfId="2" applyFill="1" applyBorder="1" applyAlignment="1">
      <alignment horizontal="center" vertical="center" wrapText="1"/>
    </xf>
    <xf numFmtId="0" fontId="0" fillId="11" borderId="6" xfId="0" applyFill="1" applyBorder="1" applyAlignment="1">
      <alignment vertical="center"/>
    </xf>
    <xf numFmtId="166" fontId="8" fillId="14" borderId="6" xfId="0" applyNumberFormat="1" applyFont="1" applyFill="1" applyBorder="1" applyAlignment="1">
      <alignment horizontal="center" vertical="center" wrapText="1"/>
    </xf>
    <xf numFmtId="0" fontId="35" fillId="8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67" fontId="8" fillId="4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5" fillId="14" borderId="0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69" fontId="36" fillId="0" borderId="1" xfId="0" applyNumberFormat="1" applyFont="1" applyBorder="1"/>
    <xf numFmtId="1" fontId="36" fillId="0" borderId="1" xfId="0" applyNumberFormat="1" applyFont="1" applyBorder="1"/>
    <xf numFmtId="169" fontId="0" fillId="0" borderId="1" xfId="0" applyNumberFormat="1" applyBorder="1"/>
    <xf numFmtId="1" fontId="0" fillId="0" borderId="1" xfId="0" applyNumberFormat="1" applyBorder="1"/>
    <xf numFmtId="169" fontId="0" fillId="0" borderId="0" xfId="0" applyNumberFormat="1"/>
    <xf numFmtId="169" fontId="37" fillId="0" borderId="0" xfId="0" applyNumberFormat="1" applyFont="1"/>
    <xf numFmtId="169" fontId="37" fillId="0" borderId="1" xfId="0" applyNumberFormat="1" applyFont="1" applyBorder="1"/>
    <xf numFmtId="1" fontId="0" fillId="0" borderId="1" xfId="0" applyNumberFormat="1" applyBorder="1" applyAlignment="1">
      <alignment wrapText="1"/>
    </xf>
    <xf numFmtId="0" fontId="1" fillId="37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0" fillId="2" borderId="6" xfId="0" applyFill="1" applyBorder="1" applyAlignment="1">
      <alignment vertical="center"/>
    </xf>
    <xf numFmtId="166" fontId="12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36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6" borderId="9" xfId="0" applyFont="1" applyFill="1" applyBorder="1" applyAlignment="1">
      <alignment wrapText="1"/>
    </xf>
    <xf numFmtId="0" fontId="1" fillId="22" borderId="10" xfId="0" applyFont="1" applyFill="1" applyBorder="1" applyAlignment="1">
      <alignment horizontal="center" vertical="center"/>
    </xf>
    <xf numFmtId="0" fontId="1" fillId="22" borderId="11" xfId="0" applyFont="1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6" fontId="3" fillId="13" borderId="3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66" fontId="3" fillId="4" borderId="13" xfId="0" applyNumberFormat="1" applyFont="1" applyFill="1" applyBorder="1" applyAlignment="1">
      <alignment horizontal="center" vertical="center"/>
    </xf>
    <xf numFmtId="167" fontId="3" fillId="4" borderId="15" xfId="0" applyNumberFormat="1" applyFont="1" applyFill="1" applyBorder="1" applyAlignment="1">
      <alignment horizontal="center" vertical="center"/>
    </xf>
    <xf numFmtId="167" fontId="8" fillId="4" borderId="15" xfId="0" applyNumberFormat="1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center"/>
    </xf>
    <xf numFmtId="166" fontId="3" fillId="4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/>
    <xf numFmtId="165" fontId="0" fillId="0" borderId="1" xfId="0" applyNumberFormat="1" applyBorder="1"/>
    <xf numFmtId="165" fontId="0" fillId="0" borderId="0" xfId="0" applyNumberFormat="1"/>
    <xf numFmtId="167" fontId="3" fillId="14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6" fontId="3" fillId="14" borderId="0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/>
    </xf>
    <xf numFmtId="0" fontId="38" fillId="13" borderId="7" xfId="0" applyFont="1" applyFill="1" applyBorder="1" applyAlignment="1">
      <alignment horizontal="center"/>
    </xf>
    <xf numFmtId="0" fontId="14" fillId="2" borderId="14" xfId="0" applyFont="1" applyFill="1" applyBorder="1"/>
    <xf numFmtId="173" fontId="38" fillId="21" borderId="1" xfId="0" applyNumberFormat="1" applyFont="1" applyFill="1" applyBorder="1" applyAlignment="1">
      <alignment horizontal="center" wrapText="1"/>
    </xf>
    <xf numFmtId="174" fontId="38" fillId="15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6" fontId="6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left" vertical="center" wrapText="1"/>
    </xf>
    <xf numFmtId="0" fontId="1" fillId="26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32" borderId="1" xfId="0" applyFont="1" applyFill="1" applyBorder="1" applyAlignment="1">
      <alignment horizontal="left" vertical="center" wrapText="1"/>
    </xf>
    <xf numFmtId="175" fontId="1" fillId="0" borderId="41" xfId="0" applyNumberFormat="1" applyFont="1" applyBorder="1" applyAlignment="1">
      <alignment horizontal="center" vertical="center" wrapText="1"/>
    </xf>
    <xf numFmtId="176" fontId="0" fillId="2" borderId="65" xfId="0" applyNumberFormat="1" applyFill="1" applyBorder="1" applyAlignment="1">
      <alignment wrapText="1"/>
    </xf>
    <xf numFmtId="177" fontId="0" fillId="2" borderId="65" xfId="0" applyNumberFormat="1" applyFill="1" applyBorder="1" applyAlignment="1">
      <alignment wrapText="1"/>
    </xf>
    <xf numFmtId="178" fontId="32" fillId="0" borderId="65" xfId="0" applyNumberFormat="1" applyFont="1" applyBorder="1" applyAlignment="1">
      <alignment wrapText="1"/>
    </xf>
    <xf numFmtId="177" fontId="30" fillId="16" borderId="6" xfId="0" applyNumberFormat="1" applyFont="1" applyFill="1" applyBorder="1" applyAlignment="1">
      <alignment horizontal="center" vertical="center"/>
    </xf>
    <xf numFmtId="166" fontId="12" fillId="14" borderId="21" xfId="0" applyNumberFormat="1" applyFont="1" applyFill="1" applyBorder="1" applyAlignment="1">
      <alignment horizontal="center" vertical="center" wrapText="1"/>
    </xf>
    <xf numFmtId="166" fontId="12" fillId="14" borderId="6" xfId="0" applyNumberFormat="1" applyFont="1" applyFill="1" applyBorder="1" applyAlignment="1">
      <alignment horizontal="center" vertical="center" wrapText="1"/>
    </xf>
    <xf numFmtId="166" fontId="12" fillId="14" borderId="24" xfId="0" applyNumberFormat="1" applyFont="1" applyFill="1" applyBorder="1" applyAlignment="1">
      <alignment horizontal="center" vertical="center" wrapText="1"/>
    </xf>
    <xf numFmtId="166" fontId="12" fillId="14" borderId="34" xfId="0" applyNumberFormat="1" applyFont="1" applyFill="1" applyBorder="1" applyAlignment="1">
      <alignment horizontal="center" vertical="center" wrapText="1"/>
    </xf>
    <xf numFmtId="179" fontId="0" fillId="2" borderId="65" xfId="0" applyNumberFormat="1" applyFill="1" applyBorder="1" applyAlignment="1">
      <alignment wrapText="1"/>
    </xf>
    <xf numFmtId="0" fontId="0" fillId="14" borderId="0" xfId="0" applyFill="1" applyAlignment="1">
      <alignment horizontal="center"/>
    </xf>
    <xf numFmtId="1" fontId="0" fillId="14" borderId="0" xfId="0" applyNumberFormat="1" applyFill="1" applyAlignment="1">
      <alignment horizontal="center"/>
    </xf>
    <xf numFmtId="4" fontId="11" fillId="14" borderId="0" xfId="0" applyNumberFormat="1" applyFont="1" applyFill="1" applyAlignment="1">
      <alignment horizontal="center" wrapText="1"/>
    </xf>
    <xf numFmtId="169" fontId="8" fillId="0" borderId="1" xfId="0" applyNumberFormat="1" applyFont="1" applyBorder="1" applyAlignment="1">
      <alignment horizontal="center" vertical="center"/>
    </xf>
    <xf numFmtId="166" fontId="12" fillId="2" borderId="6" xfId="0" applyNumberFormat="1" applyFont="1" applyFill="1" applyBorder="1" applyAlignment="1">
      <alignment horizontal="center" vertical="center"/>
    </xf>
    <xf numFmtId="10" fontId="41" fillId="2" borderId="6" xfId="0" applyNumberFormat="1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10" fontId="0" fillId="0" borderId="0" xfId="0" applyNumberFormat="1"/>
    <xf numFmtId="0" fontId="0" fillId="8" borderId="6" xfId="0" applyFill="1" applyBorder="1"/>
    <xf numFmtId="166" fontId="8" fillId="2" borderId="6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/>
    <xf numFmtId="0" fontId="0" fillId="0" borderId="89" xfId="0" applyBorder="1"/>
    <xf numFmtId="0" fontId="0" fillId="0" borderId="90" xfId="0" applyBorder="1"/>
    <xf numFmtId="0" fontId="42" fillId="33" borderId="90" xfId="0" applyFont="1" applyFill="1" applyBorder="1" applyAlignment="1">
      <alignment horizontal="center" vertical="center"/>
    </xf>
    <xf numFmtId="0" fontId="0" fillId="10" borderId="3" xfId="0" applyFill="1" applyBorder="1"/>
    <xf numFmtId="169" fontId="0" fillId="0" borderId="3" xfId="0" applyNumberFormat="1" applyBorder="1"/>
    <xf numFmtId="166" fontId="3" fillId="4" borderId="20" xfId="0" applyNumberFormat="1" applyFont="1" applyFill="1" applyBorder="1" applyAlignment="1">
      <alignment horizontal="center" vertical="center"/>
    </xf>
    <xf numFmtId="166" fontId="3" fillId="4" borderId="21" xfId="0" applyNumberFormat="1" applyFont="1" applyFill="1" applyBorder="1" applyAlignment="1">
      <alignment horizontal="center" vertical="center"/>
    </xf>
    <xf numFmtId="167" fontId="3" fillId="4" borderId="21" xfId="0" applyNumberFormat="1" applyFont="1" applyFill="1" applyBorder="1" applyAlignment="1">
      <alignment horizontal="center" vertical="center"/>
    </xf>
    <xf numFmtId="167" fontId="8" fillId="4" borderId="21" xfId="0" applyNumberFormat="1" applyFont="1" applyFill="1" applyBorder="1" applyAlignment="1">
      <alignment horizontal="center" vertical="center"/>
    </xf>
    <xf numFmtId="167" fontId="8" fillId="10" borderId="21" xfId="0" applyNumberFormat="1" applyFont="1" applyFill="1" applyBorder="1" applyAlignment="1">
      <alignment horizontal="center" vertical="center"/>
    </xf>
    <xf numFmtId="167" fontId="8" fillId="4" borderId="20" xfId="0" applyNumberFormat="1" applyFont="1" applyFill="1" applyBorder="1" applyAlignment="1">
      <alignment horizontal="center" vertical="center"/>
    </xf>
    <xf numFmtId="166" fontId="8" fillId="4" borderId="20" xfId="0" applyNumberFormat="1" applyFont="1" applyFill="1" applyBorder="1" applyAlignment="1">
      <alignment horizontal="center" vertical="center"/>
    </xf>
    <xf numFmtId="166" fontId="8" fillId="4" borderId="21" xfId="0" applyNumberFormat="1" applyFont="1" applyFill="1" applyBorder="1" applyAlignment="1">
      <alignment horizontal="center" vertical="center"/>
    </xf>
    <xf numFmtId="166" fontId="14" fillId="2" borderId="6" xfId="0" applyNumberFormat="1" applyFont="1" applyFill="1" applyBorder="1"/>
    <xf numFmtId="0" fontId="9" fillId="0" borderId="3" xfId="0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27" fillId="14" borderId="0" xfId="2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6" fontId="8" fillId="0" borderId="25" xfId="0" applyNumberFormat="1" applyFont="1" applyBorder="1" applyAlignment="1"/>
    <xf numFmtId="10" fontId="0" fillId="14" borderId="0" xfId="0" applyNumberFormat="1" applyFill="1"/>
    <xf numFmtId="10" fontId="1" fillId="0" borderId="0" xfId="0" applyNumberFormat="1" applyFont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/>
    </xf>
    <xf numFmtId="166" fontId="12" fillId="2" borderId="6" xfId="0" applyNumberFormat="1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left" vertical="center" wrapText="1"/>
    </xf>
    <xf numFmtId="0" fontId="1" fillId="22" borderId="3" xfId="0" applyFont="1" applyFill="1" applyBorder="1" applyAlignment="1">
      <alignment horizontal="center" vertical="center" wrapText="1"/>
    </xf>
    <xf numFmtId="167" fontId="1" fillId="22" borderId="6" xfId="0" applyNumberFormat="1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left" vertical="center" wrapText="1"/>
    </xf>
    <xf numFmtId="0" fontId="1" fillId="34" borderId="3" xfId="0" applyFont="1" applyFill="1" applyBorder="1" applyAlignment="1">
      <alignment horizontal="center" vertical="center" wrapText="1"/>
    </xf>
    <xf numFmtId="167" fontId="1" fillId="34" borderId="6" xfId="0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left" vertical="center" wrapText="1"/>
    </xf>
    <xf numFmtId="0" fontId="1" fillId="20" borderId="3" xfId="0" applyFont="1" applyFill="1" applyBorder="1" applyAlignment="1">
      <alignment horizontal="center" vertical="center" wrapText="1"/>
    </xf>
    <xf numFmtId="167" fontId="1" fillId="20" borderId="6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 wrapText="1"/>
    </xf>
    <xf numFmtId="167" fontId="1" fillId="8" borderId="6" xfId="0" applyNumberFormat="1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horizontal="left" vertical="center" wrapText="1"/>
    </xf>
    <xf numFmtId="0" fontId="1" fillId="35" borderId="3" xfId="0" applyFont="1" applyFill="1" applyBorder="1" applyAlignment="1">
      <alignment horizontal="center" vertical="center" wrapText="1"/>
    </xf>
    <xf numFmtId="167" fontId="1" fillId="35" borderId="6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1" fillId="38" borderId="1" xfId="0" applyFont="1" applyFill="1" applyBorder="1" applyAlignment="1">
      <alignment horizontal="center" vertical="center"/>
    </xf>
    <xf numFmtId="0" fontId="1" fillId="38" borderId="6" xfId="0" applyFont="1" applyFill="1" applyBorder="1" applyAlignment="1">
      <alignment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167" fontId="1" fillId="22" borderId="2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95" xfId="0" applyBorder="1" applyAlignment="1">
      <alignment wrapText="1"/>
    </xf>
    <xf numFmtId="176" fontId="0" fillId="2" borderId="96" xfId="0" applyNumberFormat="1" applyFill="1" applyBorder="1" applyAlignment="1">
      <alignment wrapText="1"/>
    </xf>
    <xf numFmtId="177" fontId="0" fillId="2" borderId="96" xfId="0" applyNumberFormat="1" applyFill="1" applyBorder="1" applyAlignment="1">
      <alignment wrapText="1"/>
    </xf>
    <xf numFmtId="0" fontId="0" fillId="0" borderId="97" xfId="0" applyBorder="1" applyAlignment="1">
      <alignment wrapText="1"/>
    </xf>
    <xf numFmtId="0" fontId="0" fillId="0" borderId="98" xfId="0" applyBorder="1" applyAlignment="1">
      <alignment horizontal="center" wrapText="1"/>
    </xf>
    <xf numFmtId="169" fontId="0" fillId="0" borderId="99" xfId="0" applyNumberFormat="1" applyBorder="1" applyAlignment="1">
      <alignment wrapText="1"/>
    </xf>
    <xf numFmtId="0" fontId="27" fillId="0" borderId="0" xfId="2" applyBorder="1"/>
    <xf numFmtId="0" fontId="0" fillId="19" borderId="103" xfId="0" applyFill="1" applyBorder="1" applyAlignment="1">
      <alignment wrapText="1"/>
    </xf>
    <xf numFmtId="0" fontId="0" fillId="19" borderId="14" xfId="0" applyFill="1" applyBorder="1" applyAlignment="1">
      <alignment horizontal="center" wrapText="1"/>
    </xf>
    <xf numFmtId="0" fontId="0" fillId="19" borderId="104" xfId="0" applyFill="1" applyBorder="1" applyAlignment="1">
      <alignment wrapText="1"/>
    </xf>
    <xf numFmtId="0" fontId="41" fillId="0" borderId="0" xfId="0" applyFont="1" applyAlignment="1">
      <alignment vertical="center"/>
    </xf>
    <xf numFmtId="0" fontId="0" fillId="19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07" xfId="0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27" fillId="21" borderId="21" xfId="2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0" fillId="39" borderId="0" xfId="0" applyFill="1"/>
    <xf numFmtId="0" fontId="21" fillId="39" borderId="0" xfId="0" applyFont="1" applyFill="1" applyAlignment="1">
      <alignment horizontal="center" vertical="center"/>
    </xf>
    <xf numFmtId="0" fontId="1" fillId="39" borderId="0" xfId="0" applyFont="1" applyFill="1" applyAlignment="1">
      <alignment horizontal="left" vertical="center" wrapText="1"/>
    </xf>
    <xf numFmtId="0" fontId="1" fillId="39" borderId="0" xfId="0" applyFont="1" applyFill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/>
    </xf>
    <xf numFmtId="0" fontId="0" fillId="0" borderId="0" xfId="0" applyNumberFormat="1" applyAlignment="1">
      <alignment wrapText="1"/>
    </xf>
    <xf numFmtId="0" fontId="0" fillId="0" borderId="34" xfId="0" applyNumberFormat="1" applyBorder="1"/>
    <xf numFmtId="0" fontId="1" fillId="2" borderId="64" xfId="0" applyNumberFormat="1" applyFont="1" applyFill="1" applyBorder="1" applyAlignment="1">
      <alignment wrapText="1"/>
    </xf>
    <xf numFmtId="49" fontId="1" fillId="8" borderId="105" xfId="0" applyNumberFormat="1" applyFont="1" applyFill="1" applyBorder="1" applyAlignment="1">
      <alignment horizontal="center" vertical="center"/>
    </xf>
    <xf numFmtId="0" fontId="1" fillId="2" borderId="89" xfId="0" applyNumberFormat="1" applyFont="1" applyFill="1" applyBorder="1" applyAlignment="1">
      <alignment wrapText="1"/>
    </xf>
    <xf numFmtId="0" fontId="1" fillId="15" borderId="64" xfId="0" applyFont="1" applyFill="1" applyBorder="1" applyAlignment="1">
      <alignment horizontal="center" vertical="center"/>
    </xf>
    <xf numFmtId="0" fontId="27" fillId="2" borderId="58" xfId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7" fillId="2" borderId="0" xfId="1" applyFill="1" applyBorder="1" applyAlignment="1">
      <alignment horizontal="center" vertical="center" wrapText="1"/>
    </xf>
    <xf numFmtId="167" fontId="0" fillId="0" borderId="0" xfId="0" applyNumberFormat="1"/>
    <xf numFmtId="0" fontId="1" fillId="20" borderId="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34" borderId="25" xfId="0" applyFont="1" applyFill="1" applyBorder="1" applyAlignment="1">
      <alignment horizontal="center" vertical="center" wrapText="1"/>
    </xf>
    <xf numFmtId="0" fontId="1" fillId="35" borderId="6" xfId="0" applyFont="1" applyFill="1" applyBorder="1" applyAlignment="1">
      <alignment horizontal="center" vertical="center" wrapText="1"/>
    </xf>
    <xf numFmtId="167" fontId="1" fillId="29" borderId="6" xfId="0" applyNumberFormat="1" applyFont="1" applyFill="1" applyBorder="1" applyAlignment="1">
      <alignment horizontal="center" vertical="center" wrapText="1"/>
    </xf>
    <xf numFmtId="167" fontId="1" fillId="19" borderId="6" xfId="0" applyNumberFormat="1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vertical="center"/>
    </xf>
    <xf numFmtId="0" fontId="29" fillId="30" borderId="6" xfId="0" applyFont="1" applyFill="1" applyBorder="1" applyAlignment="1">
      <alignment horizontal="center" vertical="center"/>
    </xf>
    <xf numFmtId="0" fontId="29" fillId="30" borderId="6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180" fontId="15" fillId="24" borderId="1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166" fontId="3" fillId="4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0" fontId="0" fillId="0" borderId="85" xfId="0" applyNumberFormat="1" applyBorder="1"/>
    <xf numFmtId="166" fontId="8" fillId="0" borderId="6" xfId="0" applyNumberFormat="1" applyFont="1" applyBorder="1" applyAlignment="1">
      <alignment horizontal="center" wrapText="1"/>
    </xf>
    <xf numFmtId="181" fontId="0" fillId="0" borderId="0" xfId="0" applyNumberFormat="1"/>
    <xf numFmtId="181" fontId="8" fillId="0" borderId="6" xfId="0" applyNumberFormat="1" applyFont="1" applyBorder="1" applyAlignment="1">
      <alignment horizontal="center" wrapText="1"/>
    </xf>
    <xf numFmtId="0" fontId="0" fillId="23" borderId="6" xfId="0" applyFill="1" applyBorder="1" applyAlignment="1">
      <alignment vertical="center"/>
    </xf>
    <xf numFmtId="166" fontId="8" fillId="23" borderId="6" xfId="0" applyNumberFormat="1" applyFont="1" applyFill="1" applyBorder="1" applyAlignment="1">
      <alignment vertical="center" wrapText="1"/>
    </xf>
    <xf numFmtId="0" fontId="0" fillId="21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" fillId="9" borderId="6" xfId="0" applyFont="1" applyFill="1" applyBorder="1" applyAlignment="1">
      <alignment wrapText="1"/>
    </xf>
    <xf numFmtId="0" fontId="0" fillId="31" borderId="6" xfId="0" applyFill="1" applyBorder="1" applyAlignment="1">
      <alignment horizontal="center" vertical="center"/>
    </xf>
    <xf numFmtId="0" fontId="1" fillId="31" borderId="6" xfId="0" applyFont="1" applyFill="1" applyBorder="1" applyAlignment="1">
      <alignment wrapText="1"/>
    </xf>
    <xf numFmtId="0" fontId="0" fillId="40" borderId="6" xfId="0" applyFill="1" applyBorder="1" applyAlignment="1">
      <alignment horizontal="center" vertical="center"/>
    </xf>
    <xf numFmtId="0" fontId="1" fillId="40" borderId="6" xfId="0" applyFont="1" applyFill="1" applyBorder="1" applyAlignment="1">
      <alignment wrapText="1"/>
    </xf>
    <xf numFmtId="166" fontId="8" fillId="21" borderId="6" xfId="0" applyNumberFormat="1" applyFont="1" applyFill="1" applyBorder="1" applyAlignment="1">
      <alignment horizontal="right" wrapText="1"/>
    </xf>
    <xf numFmtId="166" fontId="8" fillId="10" borderId="6" xfId="0" applyNumberFormat="1" applyFont="1" applyFill="1" applyBorder="1" applyAlignment="1">
      <alignment horizontal="right" wrapText="1"/>
    </xf>
    <xf numFmtId="166" fontId="8" fillId="9" borderId="6" xfId="0" applyNumberFormat="1" applyFont="1" applyFill="1" applyBorder="1" applyAlignment="1">
      <alignment horizontal="right" wrapText="1"/>
    </xf>
    <xf numFmtId="166" fontId="8" fillId="31" borderId="6" xfId="0" applyNumberFormat="1" applyFont="1" applyFill="1" applyBorder="1" applyAlignment="1">
      <alignment horizontal="right" wrapText="1"/>
    </xf>
    <xf numFmtId="166" fontId="8" fillId="40" borderId="6" xfId="0" applyNumberFormat="1" applyFont="1" applyFill="1" applyBorder="1" applyAlignment="1">
      <alignment horizontal="right" wrapText="1"/>
    </xf>
    <xf numFmtId="0" fontId="0" fillId="30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33" borderId="6" xfId="0" applyFill="1" applyBorder="1" applyAlignment="1">
      <alignment horizontal="center" vertical="center"/>
    </xf>
    <xf numFmtId="0" fontId="0" fillId="23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166" fontId="1" fillId="0" borderId="21" xfId="0" applyNumberFormat="1" applyFont="1" applyBorder="1" applyAlignment="1">
      <alignment vertical="center" wrapText="1"/>
    </xf>
    <xf numFmtId="166" fontId="1" fillId="0" borderId="6" xfId="0" applyNumberFormat="1" applyFont="1" applyBorder="1" applyAlignment="1">
      <alignment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26" borderId="6" xfId="0" applyFont="1" applyFill="1" applyBorder="1" applyAlignment="1">
      <alignment horizontal="left" vertical="center" wrapText="1"/>
    </xf>
    <xf numFmtId="0" fontId="1" fillId="29" borderId="6" xfId="0" applyFont="1" applyFill="1" applyBorder="1" applyAlignment="1">
      <alignment horizontal="left" vertical="center" wrapText="1"/>
    </xf>
    <xf numFmtId="0" fontId="1" fillId="33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166" fontId="1" fillId="0" borderId="6" xfId="0" applyNumberFormat="1" applyFont="1" applyBorder="1" applyAlignment="1">
      <alignment horizontal="right" vertical="center" wrapText="1"/>
    </xf>
    <xf numFmtId="166" fontId="1" fillId="0" borderId="21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41" borderId="22" xfId="0" applyFont="1" applyFill="1" applyBorder="1" applyAlignment="1">
      <alignment vertical="center" wrapText="1"/>
    </xf>
    <xf numFmtId="0" fontId="1" fillId="41" borderId="23" xfId="0" applyFont="1" applyFill="1" applyBorder="1" applyAlignment="1">
      <alignment vertical="center" wrapText="1"/>
    </xf>
    <xf numFmtId="0" fontId="1" fillId="41" borderId="34" xfId="0" applyFont="1" applyFill="1" applyBorder="1" applyAlignment="1">
      <alignment vertical="center" wrapText="1"/>
    </xf>
    <xf numFmtId="0" fontId="0" fillId="41" borderId="34" xfId="0" applyFill="1" applyBorder="1" applyAlignment="1">
      <alignment vertical="center"/>
    </xf>
    <xf numFmtId="0" fontId="1" fillId="0" borderId="20" xfId="0" applyFont="1" applyBorder="1" applyAlignment="1">
      <alignment horizontal="center" wrapText="1"/>
    </xf>
    <xf numFmtId="0" fontId="1" fillId="40" borderId="20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vertical="center" wrapText="1"/>
    </xf>
    <xf numFmtId="182" fontId="1" fillId="6" borderId="6" xfId="0" applyNumberFormat="1" applyFont="1" applyFill="1" applyBorder="1" applyAlignment="1">
      <alignment horizontal="center" vertical="center" wrapText="1"/>
    </xf>
    <xf numFmtId="16" fontId="25" fillId="2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166" fontId="3" fillId="4" borderId="6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0" fillId="0" borderId="7" xfId="0" applyBorder="1"/>
    <xf numFmtId="166" fontId="3" fillId="4" borderId="7" xfId="0" applyNumberFormat="1" applyFont="1" applyFill="1" applyBorder="1" applyAlignment="1">
      <alignment horizontal="center"/>
    </xf>
    <xf numFmtId="0" fontId="1" fillId="0" borderId="0" xfId="0" applyFont="1" applyBorder="1"/>
    <xf numFmtId="164" fontId="8" fillId="2" borderId="0" xfId="0" applyNumberFormat="1" applyFont="1" applyFill="1" applyBorder="1"/>
    <xf numFmtId="164" fontId="8" fillId="14" borderId="0" xfId="0" applyNumberFormat="1" applyFont="1" applyFill="1" applyBorder="1"/>
    <xf numFmtId="0" fontId="49" fillId="2" borderId="6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166" fontId="12" fillId="11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center" vertical="center"/>
    </xf>
    <xf numFmtId="0" fontId="27" fillId="2" borderId="88" xfId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167" fontId="8" fillId="7" borderId="6" xfId="0" applyNumberFormat="1" applyFont="1" applyFill="1" applyBorder="1" applyAlignment="1">
      <alignment horizontal="center" vertical="center"/>
    </xf>
    <xf numFmtId="167" fontId="8" fillId="14" borderId="6" xfId="0" applyNumberFormat="1" applyFont="1" applyFill="1" applyBorder="1" applyAlignment="1">
      <alignment horizontal="center" vertical="center"/>
    </xf>
    <xf numFmtId="166" fontId="3" fillId="14" borderId="15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wrapText="1"/>
    </xf>
    <xf numFmtId="0" fontId="1" fillId="12" borderId="3" xfId="0" applyFont="1" applyFill="1" applyBorder="1" applyAlignment="1">
      <alignment horizontal="center" vertical="center"/>
    </xf>
    <xf numFmtId="166" fontId="3" fillId="12" borderId="15" xfId="0" applyNumberFormat="1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wrapText="1"/>
    </xf>
    <xf numFmtId="0" fontId="1" fillId="12" borderId="13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24" borderId="6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167" fontId="3" fillId="2" borderId="15" xfId="0" applyNumberFormat="1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1" fillId="14" borderId="0" xfId="0" applyFont="1" applyFill="1" applyBorder="1" applyAlignment="1">
      <alignment vertical="center" wrapText="1"/>
    </xf>
    <xf numFmtId="166" fontId="8" fillId="19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0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8" fontId="3" fillId="5" borderId="1" xfId="0" applyNumberFormat="1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vertical="center" wrapText="1"/>
    </xf>
    <xf numFmtId="0" fontId="0" fillId="25" borderId="1" xfId="0" applyFill="1" applyBorder="1" applyAlignment="1">
      <alignment horizontal="center" vertical="center"/>
    </xf>
    <xf numFmtId="166" fontId="3" fillId="25" borderId="1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center" wrapText="1"/>
    </xf>
    <xf numFmtId="0" fontId="0" fillId="7" borderId="7" xfId="0" applyFill="1" applyBorder="1" applyAlignment="1">
      <alignment horizontal="center" vertical="center"/>
    </xf>
    <xf numFmtId="166" fontId="3" fillId="7" borderId="7" xfId="0" applyNumberFormat="1" applyFont="1" applyFill="1" applyBorder="1" applyAlignment="1">
      <alignment horizontal="center" vertical="center"/>
    </xf>
    <xf numFmtId="3" fontId="15" fillId="2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6" fontId="3" fillId="4" borderId="1" xfId="0" applyNumberFormat="1" applyFont="1" applyFill="1" applyBorder="1" applyAlignment="1">
      <alignment horizontal="center" wrapText="1"/>
    </xf>
    <xf numFmtId="10" fontId="0" fillId="0" borderId="0" xfId="0" applyNumberFormat="1" applyAlignment="1">
      <alignment wrapText="1"/>
    </xf>
    <xf numFmtId="0" fontId="1" fillId="22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0" borderId="34" xfId="0" applyFont="1" applyFill="1" applyBorder="1" applyAlignment="1">
      <alignment wrapText="1"/>
    </xf>
    <xf numFmtId="0" fontId="1" fillId="0" borderId="34" xfId="0" applyFont="1" applyBorder="1"/>
    <xf numFmtId="3" fontId="53" fillId="4" borderId="7" xfId="0" applyNumberFormat="1" applyFont="1" applyFill="1" applyBorder="1" applyAlignment="1">
      <alignment horizontal="center" vertical="center"/>
    </xf>
    <xf numFmtId="0" fontId="14" fillId="24" borderId="6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wrapText="1"/>
    </xf>
    <xf numFmtId="183" fontId="0" fillId="0" borderId="6" xfId="0" applyNumberFormat="1" applyBorder="1"/>
    <xf numFmtId="0" fontId="1" fillId="12" borderId="7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6" borderId="34" xfId="0" applyFont="1" applyFill="1" applyBorder="1" applyAlignment="1">
      <alignment wrapText="1"/>
    </xf>
    <xf numFmtId="0" fontId="28" fillId="26" borderId="34" xfId="0" applyFont="1" applyFill="1" applyBorder="1" applyAlignment="1">
      <alignment horizontal="center" vertical="center"/>
    </xf>
    <xf numFmtId="166" fontId="8" fillId="26" borderId="34" xfId="0" applyNumberFormat="1" applyFont="1" applyFill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 wrapText="1"/>
    </xf>
    <xf numFmtId="165" fontId="3" fillId="10" borderId="1" xfId="0" applyNumberFormat="1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vertical="center" wrapText="1"/>
    </xf>
    <xf numFmtId="165" fontId="3" fillId="22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172" fontId="1" fillId="14" borderId="14" xfId="0" applyNumberFormat="1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horizontal="center" vertical="center" wrapText="1"/>
    </xf>
    <xf numFmtId="167" fontId="3" fillId="4" borderId="0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 wrapText="1"/>
    </xf>
    <xf numFmtId="0" fontId="27" fillId="21" borderId="88" xfId="2" applyFill="1" applyBorder="1" applyAlignment="1">
      <alignment horizontal="center" vertical="center" wrapText="1"/>
    </xf>
    <xf numFmtId="0" fontId="0" fillId="0" borderId="21" xfId="0" applyBorder="1"/>
    <xf numFmtId="0" fontId="1" fillId="0" borderId="25" xfId="0" applyFont="1" applyBorder="1" applyAlignment="1">
      <alignment vertical="center" wrapText="1"/>
    </xf>
    <xf numFmtId="168" fontId="3" fillId="14" borderId="25" xfId="0" applyNumberFormat="1" applyFont="1" applyFill="1" applyBorder="1" applyAlignment="1">
      <alignment horizontal="center" vertical="center"/>
    </xf>
    <xf numFmtId="182" fontId="55" fillId="14" borderId="6" xfId="0" applyNumberFormat="1" applyFont="1" applyFill="1" applyBorder="1" applyAlignment="1">
      <alignment horizontal="center" vertical="center"/>
    </xf>
    <xf numFmtId="182" fontId="23" fillId="23" borderId="6" xfId="0" applyNumberFormat="1" applyFont="1" applyFill="1" applyBorder="1" applyAlignment="1">
      <alignment horizontal="center" vertical="center" wrapText="1"/>
    </xf>
    <xf numFmtId="0" fontId="56" fillId="25" borderId="6" xfId="0" applyFont="1" applyFill="1" applyBorder="1" applyAlignment="1">
      <alignment wrapText="1"/>
    </xf>
    <xf numFmtId="0" fontId="56" fillId="25" borderId="6" xfId="0" applyFont="1" applyFill="1" applyBorder="1" applyAlignment="1">
      <alignment horizontal="left" vertical="center" wrapText="1"/>
    </xf>
    <xf numFmtId="0" fontId="56" fillId="25" borderId="6" xfId="0" applyFont="1" applyFill="1" applyBorder="1" applyAlignment="1">
      <alignment horizontal="left" wrapText="1"/>
    </xf>
    <xf numFmtId="0" fontId="56" fillId="25" borderId="6" xfId="0" applyFont="1" applyFill="1" applyBorder="1" applyAlignment="1">
      <alignment horizontal="left"/>
    </xf>
    <xf numFmtId="0" fontId="56" fillId="0" borderId="0" xfId="0" applyNumberFormat="1" applyFont="1" applyAlignment="1">
      <alignment horizontal="left"/>
    </xf>
    <xf numFmtId="0" fontId="1" fillId="0" borderId="122" xfId="0" applyNumberFormat="1" applyFont="1" applyBorder="1"/>
    <xf numFmtId="49" fontId="1" fillId="0" borderId="122" xfId="0" applyNumberFormat="1" applyFont="1" applyBorder="1"/>
    <xf numFmtId="0" fontId="56" fillId="0" borderId="122" xfId="0" applyNumberFormat="1" applyFont="1" applyBorder="1"/>
    <xf numFmtId="0" fontId="21" fillId="2" borderId="121" xfId="0" applyNumberFormat="1" applyFont="1" applyFill="1" applyBorder="1" applyAlignment="1">
      <alignment horizontal="center" vertical="center"/>
    </xf>
    <xf numFmtId="166" fontId="57" fillId="2" borderId="6" xfId="0" applyNumberFormat="1" applyFont="1" applyFill="1" applyBorder="1" applyAlignment="1">
      <alignment horizontal="center" vertical="center" wrapText="1"/>
    </xf>
    <xf numFmtId="0" fontId="58" fillId="39" borderId="0" xfId="0" applyFont="1" applyFill="1"/>
    <xf numFmtId="0" fontId="21" fillId="0" borderId="6" xfId="0" applyFont="1" applyBorder="1" applyAlignment="1">
      <alignment horizontal="center" vertical="center"/>
    </xf>
    <xf numFmtId="16" fontId="11" fillId="0" borderId="6" xfId="0" applyNumberFormat="1" applyFont="1" applyBorder="1" applyAlignment="1">
      <alignment horizontal="left" vertical="center" wrapText="1"/>
    </xf>
    <xf numFmtId="1" fontId="11" fillId="0" borderId="6" xfId="0" applyNumberFormat="1" applyFont="1" applyBorder="1" applyAlignment="1">
      <alignment horizontal="center" vertical="center"/>
    </xf>
    <xf numFmtId="16" fontId="25" fillId="0" borderId="6" xfId="0" applyNumberFormat="1" applyFont="1" applyBorder="1" applyAlignment="1">
      <alignment horizontal="left" vertical="center" wrapText="1"/>
    </xf>
    <xf numFmtId="16" fontId="6" fillId="2" borderId="6" xfId="0" applyNumberFormat="1" applyFont="1" applyFill="1" applyBorder="1" applyAlignment="1">
      <alignment horizontal="center" vertical="center"/>
    </xf>
    <xf numFmtId="16" fontId="11" fillId="2" borderId="6" xfId="0" applyNumberFormat="1" applyFont="1" applyFill="1" applyBorder="1" applyAlignment="1">
      <alignment horizontal="center" vertical="center" wrapText="1"/>
    </xf>
    <xf numFmtId="16" fontId="6" fillId="39" borderId="6" xfId="0" applyNumberFormat="1" applyFont="1" applyFill="1" applyBorder="1" applyAlignment="1">
      <alignment horizontal="center" vertical="center"/>
    </xf>
    <xf numFmtId="0" fontId="27" fillId="14" borderId="0" xfId="1" applyFill="1" applyBorder="1" applyAlignment="1">
      <alignment horizontal="center" vertical="center" wrapText="1"/>
    </xf>
    <xf numFmtId="166" fontId="8" fillId="14" borderId="6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166" fontId="12" fillId="5" borderId="0" xfId="0" applyNumberFormat="1" applyFont="1" applyFill="1" applyBorder="1" applyAlignment="1">
      <alignment horizontal="center" vertical="center"/>
    </xf>
    <xf numFmtId="166" fontId="12" fillId="16" borderId="0" xfId="0" applyNumberFormat="1" applyFont="1" applyFill="1" applyBorder="1" applyAlignment="1">
      <alignment horizontal="center" vertical="center"/>
    </xf>
    <xf numFmtId="166" fontId="12" fillId="26" borderId="0" xfId="0" applyNumberFormat="1" applyFont="1" applyFill="1" applyBorder="1" applyAlignment="1">
      <alignment horizontal="center" vertical="center"/>
    </xf>
    <xf numFmtId="166" fontId="12" fillId="25" borderId="0" xfId="0" applyNumberFormat="1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wrapText="1"/>
    </xf>
    <xf numFmtId="166" fontId="12" fillId="14" borderId="0" xfId="0" applyNumberFormat="1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16" borderId="6" xfId="0" applyFont="1" applyFill="1" applyBorder="1" applyAlignment="1">
      <alignment horizontal="center" vertical="center"/>
    </xf>
    <xf numFmtId="0" fontId="25" fillId="26" borderId="6" xfId="0" applyFont="1" applyFill="1" applyBorder="1" applyAlignment="1">
      <alignment horizontal="center" vertical="center"/>
    </xf>
    <xf numFmtId="0" fontId="25" fillId="25" borderId="6" xfId="0" applyFont="1" applyFill="1" applyBorder="1" applyAlignment="1">
      <alignment horizontal="center" vertical="center"/>
    </xf>
    <xf numFmtId="0" fontId="11" fillId="0" borderId="21" xfId="0" applyFont="1" applyBorder="1" applyAlignment="1">
      <alignment wrapText="1"/>
    </xf>
    <xf numFmtId="0" fontId="1" fillId="37" borderId="1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" fillId="21" borderId="14" xfId="0" applyFont="1" applyFill="1" applyBorder="1" applyAlignment="1">
      <alignment wrapText="1"/>
    </xf>
    <xf numFmtId="167" fontId="12" fillId="21" borderId="6" xfId="0" applyNumberFormat="1" applyFont="1" applyFill="1" applyBorder="1" applyAlignment="1">
      <alignment horizontal="center" vertical="center"/>
    </xf>
    <xf numFmtId="167" fontId="12" fillId="10" borderId="6" xfId="0" applyNumberFormat="1" applyFont="1" applyFill="1" applyBorder="1" applyAlignment="1">
      <alignment horizontal="center" vertical="center"/>
    </xf>
    <xf numFmtId="167" fontId="12" fillId="14" borderId="6" xfId="0" applyNumberFormat="1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25" fillId="21" borderId="109" xfId="0" applyFont="1" applyFill="1" applyBorder="1" applyAlignment="1">
      <alignment horizontal="center" vertical="center" wrapText="1"/>
    </xf>
    <xf numFmtId="0" fontId="25" fillId="10" borderId="109" xfId="0" applyFont="1" applyFill="1" applyBorder="1" applyAlignment="1">
      <alignment horizontal="center" vertical="center" wrapText="1"/>
    </xf>
    <xf numFmtId="0" fontId="21" fillId="14" borderId="109" xfId="0" applyFont="1" applyFill="1" applyBorder="1" applyAlignment="1">
      <alignment horizontal="center" vertical="center" wrapText="1"/>
    </xf>
    <xf numFmtId="0" fontId="59" fillId="22" borderId="110" xfId="0" applyFont="1" applyFill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/>
    </xf>
    <xf numFmtId="167" fontId="12" fillId="22" borderId="112" xfId="0" applyNumberFormat="1" applyFont="1" applyFill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1" fillId="0" borderId="128" xfId="0" applyFont="1" applyBorder="1" applyAlignment="1">
      <alignment wrapText="1"/>
    </xf>
    <xf numFmtId="0" fontId="1" fillId="0" borderId="128" xfId="0" applyFont="1" applyBorder="1" applyAlignment="1">
      <alignment horizontal="center" vertical="center"/>
    </xf>
    <xf numFmtId="167" fontId="12" fillId="21" borderId="128" xfId="0" applyNumberFormat="1" applyFont="1" applyFill="1" applyBorder="1" applyAlignment="1">
      <alignment horizontal="center" vertical="center"/>
    </xf>
    <xf numFmtId="167" fontId="12" fillId="10" borderId="128" xfId="0" applyNumberFormat="1" applyFont="1" applyFill="1" applyBorder="1" applyAlignment="1">
      <alignment horizontal="center" vertical="center"/>
    </xf>
    <xf numFmtId="167" fontId="12" fillId="14" borderId="128" xfId="0" applyNumberFormat="1" applyFont="1" applyFill="1" applyBorder="1" applyAlignment="1">
      <alignment horizontal="center" vertical="center"/>
    </xf>
    <xf numFmtId="167" fontId="12" fillId="22" borderId="129" xfId="0" applyNumberFormat="1" applyFont="1" applyFill="1" applyBorder="1" applyAlignment="1">
      <alignment horizontal="center" vertical="center"/>
    </xf>
    <xf numFmtId="0" fontId="1" fillId="2" borderId="111" xfId="0" applyFont="1" applyFill="1" applyBorder="1" applyAlignment="1">
      <alignment vertical="center"/>
    </xf>
    <xf numFmtId="0" fontId="11" fillId="0" borderId="134" xfId="0" applyFont="1" applyBorder="1" applyAlignment="1">
      <alignment wrapText="1"/>
    </xf>
    <xf numFmtId="0" fontId="1" fillId="0" borderId="135" xfId="0" applyFont="1" applyBorder="1" applyAlignment="1">
      <alignment horizontal="center" vertical="center"/>
    </xf>
    <xf numFmtId="0" fontId="1" fillId="2" borderId="108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 wrapText="1"/>
    </xf>
    <xf numFmtId="0" fontId="1" fillId="2" borderId="109" xfId="0" applyFont="1" applyFill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5" fillId="24" borderId="6" xfId="0" applyNumberFormat="1" applyFont="1" applyFill="1" applyBorder="1" applyAlignment="1">
      <alignment horizontal="center" vertical="center"/>
    </xf>
    <xf numFmtId="0" fontId="14" fillId="24" borderId="15" xfId="0" applyFont="1" applyFill="1" applyBorder="1" applyAlignment="1">
      <alignment horizontal="center" vertical="center"/>
    </xf>
    <xf numFmtId="0" fontId="60" fillId="24" borderId="6" xfId="0" applyFont="1" applyFill="1" applyBorder="1" applyAlignment="1">
      <alignment vertical="center" wrapText="1"/>
    </xf>
    <xf numFmtId="0" fontId="1" fillId="43" borderId="6" xfId="0" applyFont="1" applyFill="1" applyBorder="1" applyAlignment="1">
      <alignment wrapText="1"/>
    </xf>
    <xf numFmtId="0" fontId="1" fillId="43" borderId="7" xfId="0" applyFont="1" applyFill="1" applyBorder="1" applyAlignment="1">
      <alignment wrapText="1"/>
    </xf>
    <xf numFmtId="0" fontId="1" fillId="43" borderId="1" xfId="0" applyFont="1" applyFill="1" applyBorder="1" applyAlignment="1">
      <alignment wrapText="1"/>
    </xf>
    <xf numFmtId="0" fontId="1" fillId="43" borderId="6" xfId="0" applyFont="1" applyFill="1" applyBorder="1" applyAlignment="1">
      <alignment horizontal="center" vertical="center"/>
    </xf>
    <xf numFmtId="0" fontId="1" fillId="43" borderId="1" xfId="0" applyFont="1" applyFill="1" applyBorder="1" applyAlignment="1">
      <alignment horizontal="center" vertical="center"/>
    </xf>
    <xf numFmtId="0" fontId="1" fillId="43" borderId="7" xfId="0" applyFont="1" applyFill="1" applyBorder="1" applyAlignment="1">
      <alignment horizontal="center" vertical="center"/>
    </xf>
    <xf numFmtId="0" fontId="29" fillId="0" borderId="6" xfId="0" applyFont="1" applyBorder="1"/>
    <xf numFmtId="0" fontId="1" fillId="0" borderId="0" xfId="0" applyFont="1"/>
    <xf numFmtId="0" fontId="1" fillId="13" borderId="6" xfId="0" applyFont="1" applyFill="1" applyBorder="1" applyAlignment="1">
      <alignment wrapText="1"/>
    </xf>
    <xf numFmtId="0" fontId="1" fillId="32" borderId="6" xfId="0" applyFont="1" applyFill="1" applyBorder="1" applyAlignment="1">
      <alignment vertical="center" wrapText="1"/>
    </xf>
    <xf numFmtId="0" fontId="14" fillId="32" borderId="6" xfId="0" applyFont="1" applyFill="1" applyBorder="1" applyAlignment="1">
      <alignment horizontal="center" vertical="center"/>
    </xf>
    <xf numFmtId="0" fontId="1" fillId="32" borderId="6" xfId="0" applyFont="1" applyFill="1" applyBorder="1"/>
    <xf numFmtId="0" fontId="1" fillId="13" borderId="6" xfId="0" applyFont="1" applyFill="1" applyBorder="1"/>
    <xf numFmtId="0" fontId="14" fillId="13" borderId="6" xfId="0" applyFont="1" applyFill="1" applyBorder="1" applyAlignment="1">
      <alignment horizontal="center" vertical="center"/>
    </xf>
    <xf numFmtId="0" fontId="1" fillId="33" borderId="6" xfId="0" applyFont="1" applyFill="1" applyBorder="1"/>
    <xf numFmtId="0" fontId="1" fillId="33" borderId="6" xfId="0" applyFont="1" applyFill="1" applyBorder="1" applyAlignment="1">
      <alignment wrapText="1"/>
    </xf>
    <xf numFmtId="0" fontId="14" fillId="33" borderId="6" xfId="0" applyFont="1" applyFill="1" applyBorder="1" applyAlignment="1">
      <alignment horizontal="center" vertical="center"/>
    </xf>
    <xf numFmtId="0" fontId="1" fillId="20" borderId="6" xfId="0" applyFont="1" applyFill="1" applyBorder="1"/>
    <xf numFmtId="0" fontId="14" fillId="20" borderId="6" xfId="0" applyFont="1" applyFill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2" borderId="25" xfId="0" applyFont="1" applyFill="1" applyBorder="1" applyAlignment="1">
      <alignment vertical="center"/>
    </xf>
    <xf numFmtId="0" fontId="1" fillId="32" borderId="25" xfId="0" applyFont="1" applyFill="1" applyBorder="1" applyAlignment="1">
      <alignment vertical="center" wrapText="1"/>
    </xf>
    <xf numFmtId="0" fontId="14" fillId="32" borderId="25" xfId="0" applyFont="1" applyFill="1" applyBorder="1" applyAlignment="1">
      <alignment horizontal="center" vertical="center"/>
    </xf>
    <xf numFmtId="0" fontId="1" fillId="0" borderId="3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29" borderId="6" xfId="0" applyFont="1" applyFill="1" applyBorder="1" applyAlignment="1">
      <alignment wrapText="1"/>
    </xf>
    <xf numFmtId="0" fontId="1" fillId="43" borderId="34" xfId="0" applyFont="1" applyFill="1" applyBorder="1" applyAlignment="1">
      <alignment horizontal="center" vertical="center"/>
    </xf>
    <xf numFmtId="0" fontId="1" fillId="43" borderId="34" xfId="0" applyFont="1" applyFill="1" applyBorder="1" applyAlignment="1">
      <alignment wrapText="1"/>
    </xf>
    <xf numFmtId="167" fontId="12" fillId="0" borderId="34" xfId="0" applyNumberFormat="1" applyFont="1" applyBorder="1" applyAlignment="1">
      <alignment horizontal="center" vertical="center"/>
    </xf>
    <xf numFmtId="0" fontId="1" fillId="11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12" fillId="11" borderId="6" xfId="0" applyNumberFormat="1" applyFont="1" applyFill="1" applyBorder="1" applyAlignment="1">
      <alignment horizontal="center" vertical="center"/>
    </xf>
    <xf numFmtId="166" fontId="12" fillId="2" borderId="6" xfId="0" applyNumberFormat="1" applyFont="1" applyFill="1" applyBorder="1" applyAlignment="1">
      <alignment horizontal="center" vertical="center"/>
    </xf>
    <xf numFmtId="2" fontId="50" fillId="2" borderId="15" xfId="0" applyNumberFormat="1" applyFont="1" applyFill="1" applyBorder="1" applyAlignment="1">
      <alignment horizontal="center" vertical="center"/>
    </xf>
    <xf numFmtId="2" fontId="50" fillId="2" borderId="20" xfId="0" applyNumberFormat="1" applyFont="1" applyFill="1" applyBorder="1" applyAlignment="1">
      <alignment horizontal="center" vertical="center"/>
    </xf>
    <xf numFmtId="2" fontId="50" fillId="2" borderId="21" xfId="0" applyNumberFormat="1" applyFont="1" applyFill="1" applyBorder="1" applyAlignment="1">
      <alignment horizontal="center" vertical="center"/>
    </xf>
    <xf numFmtId="166" fontId="12" fillId="2" borderId="15" xfId="0" applyNumberFormat="1" applyFont="1" applyFill="1" applyBorder="1" applyAlignment="1">
      <alignment horizontal="center" vertical="center"/>
    </xf>
    <xf numFmtId="166" fontId="12" fillId="2" borderId="20" xfId="0" applyNumberFormat="1" applyFont="1" applyFill="1" applyBorder="1" applyAlignment="1">
      <alignment horizontal="center" vertical="center"/>
    </xf>
    <xf numFmtId="166" fontId="12" fillId="2" borderId="21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 wrapText="1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4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42" fillId="2" borderId="21" xfId="0" applyFont="1" applyFill="1" applyBorder="1" applyAlignment="1">
      <alignment horizontal="center" vertical="center"/>
    </xf>
    <xf numFmtId="166" fontId="12" fillId="11" borderId="15" xfId="0" applyNumberFormat="1" applyFont="1" applyFill="1" applyBorder="1" applyAlignment="1">
      <alignment horizontal="center" vertical="center"/>
    </xf>
    <xf numFmtId="166" fontId="12" fillId="11" borderId="20" xfId="0" applyNumberFormat="1" applyFont="1" applyFill="1" applyBorder="1" applyAlignment="1">
      <alignment horizontal="center" vertical="center"/>
    </xf>
    <xf numFmtId="166" fontId="12" fillId="11" borderId="28" xfId="0" applyNumberFormat="1" applyFont="1" applyFill="1" applyBorder="1" applyAlignment="1">
      <alignment horizontal="center" vertical="center"/>
    </xf>
    <xf numFmtId="166" fontId="12" fillId="11" borderId="2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vertical="center"/>
    </xf>
    <xf numFmtId="16" fontId="6" fillId="0" borderId="62" xfId="0" applyNumberFormat="1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/>
    </xf>
    <xf numFmtId="16" fontId="6" fillId="0" borderId="19" xfId="0" applyNumberFormat="1" applyFont="1" applyBorder="1" applyAlignment="1">
      <alignment horizontal="center" vertical="center"/>
    </xf>
    <xf numFmtId="16" fontId="6" fillId="0" borderId="63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2" borderId="15" xfId="0" applyFont="1" applyFill="1" applyBorder="1" applyAlignment="1">
      <alignment horizontal="center" wrapText="1"/>
    </xf>
    <xf numFmtId="0" fontId="1" fillId="22" borderId="20" xfId="0" applyFont="1" applyFill="1" applyBorder="1" applyAlignment="1">
      <alignment horizontal="center" wrapText="1"/>
    </xf>
    <xf numFmtId="0" fontId="1" fillId="15" borderId="51" xfId="0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15" borderId="7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79" xfId="0" applyFont="1" applyFill="1" applyBorder="1" applyAlignment="1">
      <alignment horizontal="center" vertical="center"/>
    </xf>
    <xf numFmtId="165" fontId="15" fillId="12" borderId="80" xfId="0" applyNumberFormat="1" applyFont="1" applyFill="1" applyBorder="1" applyAlignment="1">
      <alignment horizontal="center" vertical="center"/>
    </xf>
    <xf numFmtId="165" fontId="15" fillId="12" borderId="81" xfId="0" applyNumberFormat="1" applyFont="1" applyFill="1" applyBorder="1" applyAlignment="1">
      <alignment horizontal="center" vertical="center"/>
    </xf>
    <xf numFmtId="165" fontId="15" fillId="12" borderId="73" xfId="0" applyNumberFormat="1" applyFont="1" applyFill="1" applyBorder="1" applyAlignment="1">
      <alignment horizontal="center" vertical="center"/>
    </xf>
    <xf numFmtId="165" fontId="15" fillId="12" borderId="82" xfId="0" applyNumberFormat="1" applyFont="1" applyFill="1" applyBorder="1" applyAlignment="1">
      <alignment horizontal="center" vertical="center"/>
    </xf>
    <xf numFmtId="165" fontId="15" fillId="12" borderId="83" xfId="0" applyNumberFormat="1" applyFont="1" applyFill="1" applyBorder="1" applyAlignment="1">
      <alignment horizontal="center" vertical="center"/>
    </xf>
    <xf numFmtId="165" fontId="15" fillId="12" borderId="84" xfId="0" applyNumberFormat="1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4" fillId="5" borderId="6" xfId="0" applyFont="1" applyFill="1" applyBorder="1" applyAlignment="1">
      <alignment horizontal="center" vertical="center"/>
    </xf>
    <xf numFmtId="166" fontId="19" fillId="14" borderId="22" xfId="0" applyNumberFormat="1" applyFont="1" applyFill="1" applyBorder="1" applyAlignment="1">
      <alignment horizontal="center" vertical="center"/>
    </xf>
    <xf numFmtId="166" fontId="19" fillId="14" borderId="23" xfId="0" applyNumberFormat="1" applyFont="1" applyFill="1" applyBorder="1" applyAlignment="1">
      <alignment horizontal="center" vertical="center"/>
    </xf>
    <xf numFmtId="166" fontId="19" fillId="14" borderId="24" xfId="0" applyNumberFormat="1" applyFont="1" applyFill="1" applyBorder="1" applyAlignment="1">
      <alignment horizontal="center" vertical="center"/>
    </xf>
    <xf numFmtId="166" fontId="20" fillId="6" borderId="15" xfId="0" applyNumberFormat="1" applyFont="1" applyFill="1" applyBorder="1" applyAlignment="1">
      <alignment horizontal="center" vertical="center"/>
    </xf>
    <xf numFmtId="166" fontId="20" fillId="6" borderId="20" xfId="0" applyNumberFormat="1" applyFont="1" applyFill="1" applyBorder="1" applyAlignment="1">
      <alignment horizontal="center" vertical="center"/>
    </xf>
    <xf numFmtId="166" fontId="20" fillId="6" borderId="21" xfId="0" applyNumberFormat="1" applyFont="1" applyFill="1" applyBorder="1" applyAlignment="1">
      <alignment horizontal="center" vertical="center"/>
    </xf>
    <xf numFmtId="16" fontId="6" fillId="0" borderId="15" xfId="0" applyNumberFormat="1" applyFont="1" applyBorder="1" applyAlignment="1">
      <alignment horizontal="center" vertical="center"/>
    </xf>
    <xf numFmtId="16" fontId="6" fillId="0" borderId="27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16" fontId="6" fillId="0" borderId="59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3" fillId="16" borderId="34" xfId="0" applyFont="1" applyFill="1" applyBorder="1" applyAlignment="1">
      <alignment horizontal="center"/>
    </xf>
    <xf numFmtId="0" fontId="9" fillId="24" borderId="30" xfId="0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2" fontId="51" fillId="12" borderId="26" xfId="0" applyNumberFormat="1" applyFont="1" applyFill="1" applyBorder="1" applyAlignment="1">
      <alignment horizontal="center" vertical="center"/>
    </xf>
    <xf numFmtId="182" fontId="51" fillId="12" borderId="27" xfId="0" applyNumberFormat="1" applyFont="1" applyFill="1" applyBorder="1" applyAlignment="1">
      <alignment horizontal="center" vertical="center"/>
    </xf>
    <xf numFmtId="182" fontId="51" fillId="12" borderId="28" xfId="0" applyNumberFormat="1" applyFont="1" applyFill="1" applyBorder="1" applyAlignment="1">
      <alignment horizontal="center" vertical="center"/>
    </xf>
    <xf numFmtId="167" fontId="20" fillId="14" borderId="15" xfId="0" applyNumberFormat="1" applyFont="1" applyFill="1" applyBorder="1" applyAlignment="1">
      <alignment horizontal="center" vertical="center"/>
    </xf>
    <xf numFmtId="167" fontId="20" fillId="14" borderId="20" xfId="0" applyNumberFormat="1" applyFont="1" applyFill="1" applyBorder="1" applyAlignment="1">
      <alignment horizontal="center" vertical="center"/>
    </xf>
    <xf numFmtId="167" fontId="20" fillId="14" borderId="21" xfId="0" applyNumberFormat="1" applyFont="1" applyFill="1" applyBorder="1" applyAlignment="1">
      <alignment horizontal="center" vertical="center"/>
    </xf>
    <xf numFmtId="166" fontId="19" fillId="17" borderId="6" xfId="0" applyNumberFormat="1" applyFont="1" applyFill="1" applyBorder="1" applyAlignment="1">
      <alignment horizontal="center" vertical="center"/>
    </xf>
    <xf numFmtId="166" fontId="19" fillId="17" borderId="15" xfId="0" applyNumberFormat="1" applyFont="1" applyFill="1" applyBorder="1" applyAlignment="1">
      <alignment horizontal="center" vertical="center"/>
    </xf>
    <xf numFmtId="166" fontId="19" fillId="17" borderId="20" xfId="0" applyNumberFormat="1" applyFont="1" applyFill="1" applyBorder="1" applyAlignment="1">
      <alignment horizontal="center" vertical="center"/>
    </xf>
    <xf numFmtId="166" fontId="19" fillId="17" borderId="21" xfId="0" applyNumberFormat="1" applyFont="1" applyFill="1" applyBorder="1" applyAlignment="1">
      <alignment horizontal="center" vertical="center"/>
    </xf>
    <xf numFmtId="166" fontId="19" fillId="11" borderId="26" xfId="0" applyNumberFormat="1" applyFont="1" applyFill="1" applyBorder="1" applyAlignment="1">
      <alignment horizontal="center" vertical="center"/>
    </xf>
    <xf numFmtId="166" fontId="19" fillId="11" borderId="27" xfId="0" applyNumberFormat="1" applyFont="1" applyFill="1" applyBorder="1" applyAlignment="1">
      <alignment horizontal="center" vertical="center"/>
    </xf>
    <xf numFmtId="166" fontId="19" fillId="11" borderId="28" xfId="0" applyNumberFormat="1" applyFont="1" applyFill="1" applyBorder="1" applyAlignment="1">
      <alignment horizontal="center" vertical="center"/>
    </xf>
    <xf numFmtId="166" fontId="20" fillId="11" borderId="15" xfId="0" applyNumberFormat="1" applyFont="1" applyFill="1" applyBorder="1" applyAlignment="1">
      <alignment horizontal="center" vertical="center"/>
    </xf>
    <xf numFmtId="166" fontId="20" fillId="11" borderId="20" xfId="0" applyNumberFormat="1" applyFont="1" applyFill="1" applyBorder="1" applyAlignment="1">
      <alignment horizontal="center" vertical="center"/>
    </xf>
    <xf numFmtId="166" fontId="20" fillId="11" borderId="21" xfId="0" applyNumberFormat="1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37" xfId="0" applyFont="1" applyFill="1" applyBorder="1" applyAlignment="1">
      <alignment horizontal="center" vertical="center"/>
    </xf>
    <xf numFmtId="0" fontId="21" fillId="28" borderId="38" xfId="0" applyFont="1" applyFill="1" applyBorder="1" applyAlignment="1">
      <alignment horizontal="center" vertical="center" wrapText="1"/>
    </xf>
    <xf numFmtId="0" fontId="21" fillId="28" borderId="39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4" xfId="0" applyFont="1" applyFill="1" applyBorder="1" applyAlignment="1">
      <alignment horizontal="center" vertical="center" wrapText="1"/>
    </xf>
    <xf numFmtId="0" fontId="22" fillId="24" borderId="42" xfId="0" applyFont="1" applyFill="1" applyBorder="1" applyAlignment="1">
      <alignment horizontal="center" vertical="center" wrapText="1"/>
    </xf>
    <xf numFmtId="0" fontId="22" fillId="24" borderId="43" xfId="0" applyFont="1" applyFill="1" applyBorder="1" applyAlignment="1">
      <alignment horizontal="center" vertical="center" wrapText="1"/>
    </xf>
    <xf numFmtId="0" fontId="22" fillId="24" borderId="4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/>
    </xf>
    <xf numFmtId="16" fontId="6" fillId="0" borderId="25" xfId="0" applyNumberFormat="1" applyFont="1" applyBorder="1" applyAlignment="1">
      <alignment horizontal="center" vertical="center"/>
    </xf>
    <xf numFmtId="0" fontId="21" fillId="23" borderId="21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1" fillId="26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0" fontId="8" fillId="20" borderId="6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66" fontId="8" fillId="19" borderId="11" xfId="0" applyNumberFormat="1" applyFont="1" applyFill="1" applyBorder="1" applyAlignment="1">
      <alignment horizontal="center" vertical="center" wrapText="1"/>
    </xf>
    <xf numFmtId="166" fontId="8" fillId="19" borderId="12" xfId="0" applyNumberFormat="1" applyFont="1" applyFill="1" applyBorder="1" applyAlignment="1">
      <alignment horizontal="center" vertical="center" wrapText="1"/>
    </xf>
    <xf numFmtId="166" fontId="12" fillId="19" borderId="49" xfId="0" applyNumberFormat="1" applyFont="1" applyFill="1" applyBorder="1" applyAlignment="1">
      <alignment horizontal="center" vertical="center" wrapText="1"/>
    </xf>
    <xf numFmtId="166" fontId="12" fillId="19" borderId="31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8" fillId="19" borderId="15" xfId="0" applyNumberFormat="1" applyFont="1" applyFill="1" applyBorder="1" applyAlignment="1">
      <alignment horizontal="center" vertical="center" wrapText="1"/>
    </xf>
    <xf numFmtId="166" fontId="8" fillId="19" borderId="20" xfId="0" applyNumberFormat="1" applyFont="1" applyFill="1" applyBorder="1" applyAlignment="1">
      <alignment horizontal="center" vertical="center" wrapText="1"/>
    </xf>
    <xf numFmtId="166" fontId="8" fillId="19" borderId="21" xfId="0" applyNumberFormat="1" applyFont="1" applyFill="1" applyBorder="1" applyAlignment="1">
      <alignment horizontal="center" vertical="center" wrapText="1"/>
    </xf>
    <xf numFmtId="166" fontId="8" fillId="19" borderId="6" xfId="0" applyNumberFormat="1" applyFont="1" applyFill="1" applyBorder="1" applyAlignment="1">
      <alignment horizontal="center" vertical="center" wrapText="1"/>
    </xf>
    <xf numFmtId="166" fontId="8" fillId="14" borderId="22" xfId="0" applyNumberFormat="1" applyFont="1" applyFill="1" applyBorder="1" applyAlignment="1">
      <alignment horizontal="center" vertical="center" wrapText="1"/>
    </xf>
    <xf numFmtId="166" fontId="8" fillId="14" borderId="23" xfId="0" applyNumberFormat="1" applyFont="1" applyFill="1" applyBorder="1" applyAlignment="1">
      <alignment horizontal="center" vertical="center" wrapText="1"/>
    </xf>
    <xf numFmtId="166" fontId="8" fillId="14" borderId="24" xfId="0" applyNumberFormat="1" applyFont="1" applyFill="1" applyBorder="1" applyAlignment="1">
      <alignment horizontal="center" vertical="center" wrapText="1"/>
    </xf>
    <xf numFmtId="0" fontId="47" fillId="2" borderId="70" xfId="0" applyFont="1" applyFill="1" applyBorder="1" applyAlignment="1">
      <alignment horizontal="center" vertical="center" wrapText="1"/>
    </xf>
    <xf numFmtId="0" fontId="47" fillId="2" borderId="71" xfId="0" applyFont="1" applyFill="1" applyBorder="1" applyAlignment="1">
      <alignment horizontal="center" vertical="center" wrapText="1"/>
    </xf>
    <xf numFmtId="0" fontId="47" fillId="2" borderId="72" xfId="0" applyFont="1" applyFill="1" applyBorder="1" applyAlignment="1">
      <alignment horizontal="center" vertical="center" wrapText="1"/>
    </xf>
    <xf numFmtId="170" fontId="8" fillId="32" borderId="25" xfId="0" applyNumberFormat="1" applyFont="1" applyFill="1" applyBorder="1" applyAlignment="1">
      <alignment horizontal="center" vertical="center" wrapText="1"/>
    </xf>
    <xf numFmtId="170" fontId="8" fillId="32" borderId="6" xfId="0" applyNumberFormat="1" applyFont="1" applyFill="1" applyBorder="1" applyAlignment="1">
      <alignment horizontal="center" vertical="center" wrapText="1"/>
    </xf>
    <xf numFmtId="170" fontId="8" fillId="0" borderId="0" xfId="0" applyNumberFormat="1" applyFont="1" applyAlignment="1">
      <alignment horizontal="center" vertical="center" wrapText="1"/>
    </xf>
    <xf numFmtId="170" fontId="8" fillId="33" borderId="6" xfId="0" applyNumberFormat="1" applyFont="1" applyFill="1" applyBorder="1" applyAlignment="1">
      <alignment horizontal="center" vertical="center" wrapText="1"/>
    </xf>
    <xf numFmtId="170" fontId="8" fillId="13" borderId="6" xfId="0" applyNumberFormat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166" fontId="24" fillId="3" borderId="15" xfId="0" applyNumberFormat="1" applyFont="1" applyFill="1" applyBorder="1" applyAlignment="1">
      <alignment horizontal="center" vertical="center" wrapText="1"/>
    </xf>
    <xf numFmtId="166" fontId="24" fillId="3" borderId="21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166" fontId="8" fillId="19" borderId="0" xfId="0" applyNumberFormat="1" applyFont="1" applyFill="1" applyBorder="1" applyAlignment="1">
      <alignment horizontal="center" vertical="center" wrapText="1"/>
    </xf>
    <xf numFmtId="16" fontId="6" fillId="0" borderId="57" xfId="0" applyNumberFormat="1" applyFont="1" applyBorder="1" applyAlignment="1">
      <alignment horizontal="center" vertical="center"/>
    </xf>
    <xf numFmtId="16" fontId="6" fillId="0" borderId="60" xfId="0" applyNumberFormat="1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5" borderId="6" xfId="0" applyFont="1" applyFill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 vertical="center"/>
    </xf>
    <xf numFmtId="167" fontId="12" fillId="0" borderId="112" xfId="0" applyNumberFormat="1" applyFont="1" applyBorder="1" applyAlignment="1">
      <alignment horizontal="center" vertical="center"/>
    </xf>
    <xf numFmtId="167" fontId="12" fillId="0" borderId="128" xfId="0" applyNumberFormat="1" applyFont="1" applyBorder="1" applyAlignment="1">
      <alignment horizontal="center" vertical="center"/>
    </xf>
    <xf numFmtId="167" fontId="12" fillId="0" borderId="129" xfId="0" applyNumberFormat="1" applyFont="1" applyBorder="1" applyAlignment="1">
      <alignment horizontal="center" vertical="center"/>
    </xf>
    <xf numFmtId="0" fontId="30" fillId="18" borderId="62" xfId="0" applyFont="1" applyFill="1" applyBorder="1" applyAlignment="1">
      <alignment horizontal="center" wrapText="1"/>
    </xf>
    <xf numFmtId="0" fontId="30" fillId="18" borderId="19" xfId="0" applyFont="1" applyFill="1" applyBorder="1" applyAlignment="1">
      <alignment horizontal="center" wrapText="1"/>
    </xf>
    <xf numFmtId="0" fontId="30" fillId="18" borderId="124" xfId="0" applyFont="1" applyFill="1" applyBorder="1" applyAlignment="1">
      <alignment horizontal="center" wrapText="1"/>
    </xf>
    <xf numFmtId="0" fontId="12" fillId="2" borderId="112" xfId="0" applyFont="1" applyFill="1" applyBorder="1" applyAlignment="1">
      <alignment horizontal="center" vertical="center"/>
    </xf>
    <xf numFmtId="0" fontId="25" fillId="9" borderId="132" xfId="0" applyFont="1" applyFill="1" applyBorder="1" applyAlignment="1">
      <alignment horizontal="center" vertical="center" wrapText="1"/>
    </xf>
    <xf numFmtId="0" fontId="25" fillId="9" borderId="20" xfId="0" applyFont="1" applyFill="1" applyBorder="1" applyAlignment="1">
      <alignment horizontal="center" vertical="center" wrapText="1"/>
    </xf>
    <xf numFmtId="0" fontId="25" fillId="9" borderId="133" xfId="0" applyFont="1" applyFill="1" applyBorder="1" applyAlignment="1">
      <alignment horizontal="center" vertical="center" wrapText="1"/>
    </xf>
    <xf numFmtId="0" fontId="25" fillId="37" borderId="130" xfId="0" applyFont="1" applyFill="1" applyBorder="1" applyAlignment="1">
      <alignment horizontal="center" vertical="center" wrapText="1"/>
    </xf>
    <xf numFmtId="0" fontId="25" fillId="37" borderId="27" xfId="0" applyFont="1" applyFill="1" applyBorder="1" applyAlignment="1">
      <alignment horizontal="center" vertical="center" wrapText="1"/>
    </xf>
    <xf numFmtId="0" fontId="25" fillId="37" borderId="131" xfId="0" applyFont="1" applyFill="1" applyBorder="1" applyAlignment="1">
      <alignment horizontal="center" vertical="center" wrapText="1"/>
    </xf>
    <xf numFmtId="166" fontId="12" fillId="10" borderId="15" xfId="0" applyNumberFormat="1" applyFont="1" applyFill="1" applyBorder="1" applyAlignment="1">
      <alignment horizontal="center" vertical="center" wrapText="1"/>
    </xf>
    <xf numFmtId="166" fontId="12" fillId="10" borderId="20" xfId="0" applyNumberFormat="1" applyFont="1" applyFill="1" applyBorder="1" applyAlignment="1">
      <alignment horizontal="center" vertical="center" wrapText="1"/>
    </xf>
    <xf numFmtId="166" fontId="12" fillId="10" borderId="21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166" fontId="6" fillId="2" borderId="15" xfId="0" applyNumberFormat="1" applyFont="1" applyFill="1" applyBorder="1" applyAlignment="1">
      <alignment horizontal="center" vertical="center" wrapText="1"/>
    </xf>
    <xf numFmtId="166" fontId="6" fillId="2" borderId="20" xfId="0" applyNumberFormat="1" applyFont="1" applyFill="1" applyBorder="1" applyAlignment="1">
      <alignment horizontal="center" vertical="center" wrapText="1"/>
    </xf>
    <xf numFmtId="166" fontId="6" fillId="2" borderId="21" xfId="0" applyNumberFormat="1" applyFont="1" applyFill="1" applyBorder="1" applyAlignment="1">
      <alignment horizontal="center" vertical="center" wrapText="1"/>
    </xf>
    <xf numFmtId="16" fontId="6" fillId="0" borderId="50" xfId="0" applyNumberFormat="1" applyFont="1" applyBorder="1" applyAlignment="1">
      <alignment horizontal="center" vertical="center"/>
    </xf>
    <xf numFmtId="16" fontId="6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6" fontId="12" fillId="2" borderId="15" xfId="0" applyNumberFormat="1" applyFont="1" applyFill="1" applyBorder="1" applyAlignment="1">
      <alignment horizontal="center" vertical="center" wrapText="1"/>
    </xf>
    <xf numFmtId="166" fontId="12" fillId="2" borderId="20" xfId="0" applyNumberFormat="1" applyFont="1" applyFill="1" applyBorder="1" applyAlignment="1">
      <alignment horizontal="center" vertical="center" wrapText="1"/>
    </xf>
    <xf numFmtId="166" fontId="12" fillId="2" borderId="21" xfId="0" applyNumberFormat="1" applyFont="1" applyFill="1" applyBorder="1" applyAlignment="1">
      <alignment horizontal="center" vertical="center" wrapText="1"/>
    </xf>
    <xf numFmtId="16" fontId="6" fillId="0" borderId="57" xfId="0" applyNumberFormat="1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/>
    </xf>
    <xf numFmtId="166" fontId="8" fillId="0" borderId="15" xfId="0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16" xfId="0" applyFill="1" applyBorder="1" applyAlignment="1"/>
    <xf numFmtId="0" fontId="0" fillId="2" borderId="18" xfId="0" applyFill="1" applyBorder="1" applyAlignment="1"/>
    <xf numFmtId="0" fontId="10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9" borderId="15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16" fontId="6" fillId="0" borderId="6" xfId="0" applyNumberFormat="1" applyFont="1" applyBorder="1" applyAlignment="1">
      <alignment horizontal="center"/>
    </xf>
    <xf numFmtId="16" fontId="6" fillId="0" borderId="25" xfId="0" applyNumberFormat="1" applyFont="1" applyBorder="1" applyAlignment="1">
      <alignment horizontal="center"/>
    </xf>
    <xf numFmtId="0" fontId="0" fillId="2" borderId="6" xfId="0" applyFill="1" applyBorder="1" applyAlignment="1"/>
    <xf numFmtId="0" fontId="1" fillId="2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1" fontId="1" fillId="21" borderId="6" xfId="0" applyNumberFormat="1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" fontId="1" fillId="10" borderId="6" xfId="0" applyNumberFormat="1" applyFont="1" applyFill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" fontId="1" fillId="8" borderId="6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0" fillId="2" borderId="34" xfId="0" applyFont="1" applyFill="1" applyBorder="1" applyAlignment="1">
      <alignment vertical="center" wrapText="1"/>
    </xf>
    <xf numFmtId="166" fontId="8" fillId="2" borderId="34" xfId="0" applyNumberFormat="1" applyFont="1" applyFill="1" applyBorder="1" applyAlignment="1">
      <alignment horizontal="center" vertical="center"/>
    </xf>
    <xf numFmtId="166" fontId="8" fillId="2" borderId="37" xfId="0" applyNumberFormat="1" applyFont="1" applyFill="1" applyBorder="1" applyAlignment="1">
      <alignment horizontal="center" vertical="center"/>
    </xf>
    <xf numFmtId="166" fontId="8" fillId="2" borderId="25" xfId="0" applyNumberFormat="1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9" fillId="32" borderId="70" xfId="0" applyFont="1" applyFill="1" applyBorder="1" applyAlignment="1">
      <alignment horizontal="center" vertical="center"/>
    </xf>
    <xf numFmtId="0" fontId="29" fillId="32" borderId="71" xfId="0" applyFont="1" applyFill="1" applyBorder="1" applyAlignment="1">
      <alignment horizontal="center" vertical="center"/>
    </xf>
    <xf numFmtId="0" fontId="29" fillId="32" borderId="72" xfId="0" applyFont="1" applyFill="1" applyBorder="1" applyAlignment="1">
      <alignment horizontal="center" vertical="center"/>
    </xf>
    <xf numFmtId="0" fontId="29" fillId="32" borderId="15" xfId="0" applyFont="1" applyFill="1" applyBorder="1" applyAlignment="1">
      <alignment horizontal="center" vertical="center"/>
    </xf>
    <xf numFmtId="0" fontId="29" fillId="32" borderId="20" xfId="0" applyFont="1" applyFill="1" applyBorder="1" applyAlignment="1">
      <alignment horizontal="center" vertical="center"/>
    </xf>
    <xf numFmtId="0" fontId="29" fillId="32" borderId="21" xfId="0" applyFont="1" applyFill="1" applyBorder="1" applyAlignment="1">
      <alignment horizontal="center" vertical="center"/>
    </xf>
    <xf numFmtId="0" fontId="28" fillId="26" borderId="6" xfId="0" applyFont="1" applyFill="1" applyBorder="1" applyAlignment="1">
      <alignment horizontal="center" vertical="center"/>
    </xf>
    <xf numFmtId="0" fontId="8" fillId="20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20" borderId="15" xfId="0" applyFont="1" applyFill="1" applyBorder="1" applyAlignment="1">
      <alignment horizontal="center" vertical="center"/>
    </xf>
    <xf numFmtId="0" fontId="8" fillId="20" borderId="21" xfId="0" applyFont="1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/>
    </xf>
    <xf numFmtId="0" fontId="1" fillId="20" borderId="20" xfId="0" applyFont="1" applyFill="1" applyBorder="1" applyAlignment="1">
      <alignment horizontal="center" vertical="center"/>
    </xf>
    <xf numFmtId="0" fontId="1" fillId="20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66" fontId="8" fillId="2" borderId="34" xfId="0" applyNumberFormat="1" applyFont="1" applyFill="1" applyBorder="1" applyAlignment="1">
      <alignment horizontal="center" vertical="center" wrapText="1"/>
    </xf>
    <xf numFmtId="166" fontId="8" fillId="2" borderId="37" xfId="0" applyNumberFormat="1" applyFont="1" applyFill="1" applyBorder="1" applyAlignment="1">
      <alignment horizontal="center" vertical="center" wrapText="1"/>
    </xf>
    <xf numFmtId="166" fontId="8" fillId="2" borderId="25" xfId="0" applyNumberFormat="1" applyFont="1" applyFill="1" applyBorder="1" applyAlignment="1">
      <alignment horizontal="center" vertical="center" wrapText="1"/>
    </xf>
    <xf numFmtId="0" fontId="29" fillId="20" borderId="15" xfId="0" applyFont="1" applyFill="1" applyBorder="1" applyAlignment="1">
      <alignment horizontal="center" vertical="center" wrapText="1"/>
    </xf>
    <xf numFmtId="0" fontId="29" fillId="20" borderId="20" xfId="0" applyFont="1" applyFill="1" applyBorder="1" applyAlignment="1">
      <alignment horizontal="center" vertical="center" wrapText="1"/>
    </xf>
    <xf numFmtId="0" fontId="29" fillId="20" borderId="21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1" fillId="20" borderId="108" xfId="0" applyFont="1" applyFill="1" applyBorder="1" applyAlignment="1">
      <alignment horizontal="center" vertical="center" wrapText="1"/>
    </xf>
    <xf numFmtId="0" fontId="1" fillId="20" borderId="111" xfId="0" applyFont="1" applyFill="1" applyBorder="1" applyAlignment="1">
      <alignment horizontal="center" vertical="center" wrapText="1"/>
    </xf>
    <xf numFmtId="0" fontId="1" fillId="20" borderId="109" xfId="0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horizontal="center" vertical="center" wrapText="1"/>
    </xf>
    <xf numFmtId="167" fontId="44" fillId="20" borderId="110" xfId="0" applyNumberFormat="1" applyFont="1" applyFill="1" applyBorder="1" applyAlignment="1">
      <alignment horizontal="center" vertical="center" wrapText="1"/>
    </xf>
    <xf numFmtId="167" fontId="44" fillId="20" borderId="112" xfId="0" applyNumberFormat="1" applyFont="1" applyFill="1" applyBorder="1" applyAlignment="1">
      <alignment horizontal="center" vertical="center" wrapText="1"/>
    </xf>
    <xf numFmtId="0" fontId="41" fillId="20" borderId="90" xfId="0" applyFont="1" applyFill="1" applyBorder="1" applyAlignment="1">
      <alignment horizontal="center" vertical="center"/>
    </xf>
    <xf numFmtId="0" fontId="41" fillId="20" borderId="105" xfId="0" applyFont="1" applyFill="1" applyBorder="1" applyAlignment="1">
      <alignment horizontal="center" vertical="center"/>
    </xf>
    <xf numFmtId="0" fontId="41" fillId="20" borderId="89" xfId="0" applyFont="1" applyFill="1" applyBorder="1" applyAlignment="1">
      <alignment horizontal="center" vertical="center"/>
    </xf>
    <xf numFmtId="0" fontId="43" fillId="20" borderId="62" xfId="0" applyFont="1" applyFill="1" applyBorder="1" applyAlignment="1">
      <alignment horizontal="center" vertical="center"/>
    </xf>
    <xf numFmtId="0" fontId="43" fillId="20" borderId="57" xfId="0" applyFont="1" applyFill="1" applyBorder="1" applyAlignment="1">
      <alignment horizontal="center" vertical="center"/>
    </xf>
    <xf numFmtId="0" fontId="43" fillId="20" borderId="113" xfId="0" applyFont="1" applyFill="1" applyBorder="1" applyAlignment="1">
      <alignment horizontal="center" vertical="center"/>
    </xf>
    <xf numFmtId="0" fontId="1" fillId="20" borderId="79" xfId="0" applyFont="1" applyFill="1" applyBorder="1" applyAlignment="1">
      <alignment horizontal="center" vertical="center" wrapText="1"/>
    </xf>
    <xf numFmtId="0" fontId="1" fillId="20" borderId="85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167" fontId="44" fillId="20" borderId="114" xfId="0" applyNumberFormat="1" applyFont="1" applyFill="1" applyBorder="1" applyAlignment="1">
      <alignment horizontal="center" vertical="center" wrapText="1"/>
    </xf>
    <xf numFmtId="167" fontId="44" fillId="20" borderId="100" xfId="0" applyNumberFormat="1" applyFont="1" applyFill="1" applyBorder="1" applyAlignment="1">
      <alignment horizontal="center" vertical="center" wrapText="1"/>
    </xf>
    <xf numFmtId="0" fontId="1" fillId="20" borderId="106" xfId="0" applyFont="1" applyFill="1" applyBorder="1" applyAlignment="1">
      <alignment horizontal="center" vertical="center" wrapText="1"/>
    </xf>
    <xf numFmtId="0" fontId="1" fillId="20" borderId="101" xfId="0" applyFont="1" applyFill="1" applyBorder="1" applyAlignment="1">
      <alignment horizontal="center" vertical="center" wrapText="1"/>
    </xf>
    <xf numFmtId="167" fontId="44" fillId="20" borderId="102" xfId="0" applyNumberFormat="1" applyFont="1" applyFill="1" applyBorder="1" applyAlignment="1">
      <alignment horizontal="center" vertical="center" wrapText="1"/>
    </xf>
    <xf numFmtId="16" fontId="39" fillId="0" borderId="23" xfId="0" applyNumberFormat="1" applyFont="1" applyBorder="1" applyAlignment="1">
      <alignment horizontal="center"/>
    </xf>
    <xf numFmtId="16" fontId="39" fillId="0" borderId="15" xfId="0" applyNumberFormat="1" applyFont="1" applyBorder="1" applyAlignment="1">
      <alignment horizontal="center"/>
    </xf>
    <xf numFmtId="16" fontId="39" fillId="0" borderId="20" xfId="0" applyNumberFormat="1" applyFont="1" applyBorder="1" applyAlignment="1">
      <alignment horizontal="center"/>
    </xf>
    <xf numFmtId="16" fontId="39" fillId="0" borderId="21" xfId="0" applyNumberFormat="1" applyFont="1" applyBorder="1" applyAlignment="1">
      <alignment horizontal="center"/>
    </xf>
    <xf numFmtId="16" fontId="6" fillId="0" borderId="34" xfId="0" applyNumberFormat="1" applyFont="1" applyBorder="1" applyAlignment="1">
      <alignment horizontal="center"/>
    </xf>
    <xf numFmtId="16" fontId="6" fillId="0" borderId="37" xfId="0" applyNumberFormat="1" applyFont="1" applyBorder="1" applyAlignment="1">
      <alignment horizontal="center"/>
    </xf>
    <xf numFmtId="0" fontId="11" fillId="20" borderId="6" xfId="0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wrapText="1"/>
    </xf>
    <xf numFmtId="0" fontId="1" fillId="2" borderId="71" xfId="0" applyFont="1" applyFill="1" applyBorder="1" applyAlignment="1">
      <alignment horizontal="center" wrapText="1"/>
    </xf>
    <xf numFmtId="0" fontId="1" fillId="2" borderId="72" xfId="0" applyFont="1" applyFill="1" applyBorder="1" applyAlignment="1">
      <alignment horizontal="center" wrapText="1"/>
    </xf>
    <xf numFmtId="0" fontId="1" fillId="10" borderId="15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16" fontId="6" fillId="0" borderId="26" xfId="0" applyNumberFormat="1" applyFont="1" applyBorder="1" applyAlignment="1">
      <alignment horizontal="center"/>
    </xf>
    <xf numFmtId="16" fontId="6" fillId="0" borderId="27" xfId="0" applyNumberFormat="1" applyFont="1" applyBorder="1" applyAlignment="1">
      <alignment horizontal="center"/>
    </xf>
    <xf numFmtId="16" fontId="6" fillId="0" borderId="69" xfId="0" applyNumberFormat="1" applyFont="1" applyBorder="1" applyAlignment="1">
      <alignment horizontal="center"/>
    </xf>
    <xf numFmtId="0" fontId="12" fillId="16" borderId="47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25" borderId="47" xfId="0" applyFont="1" applyFill="1" applyBorder="1" applyAlignment="1">
      <alignment horizontal="center" vertical="center"/>
    </xf>
    <xf numFmtId="0" fontId="12" fillId="25" borderId="48" xfId="0" applyFont="1" applyFill="1" applyBorder="1" applyAlignment="1">
      <alignment horizontal="center" vertical="center"/>
    </xf>
    <xf numFmtId="4" fontId="7" fillId="10" borderId="15" xfId="0" applyNumberFormat="1" applyFont="1" applyFill="1" applyBorder="1" applyAlignment="1">
      <alignment horizontal="center" vertical="center" wrapText="1"/>
    </xf>
    <xf numFmtId="4" fontId="7" fillId="10" borderId="20" xfId="0" applyNumberFormat="1" applyFont="1" applyFill="1" applyBorder="1" applyAlignment="1">
      <alignment horizontal="center" vertical="center" wrapText="1"/>
    </xf>
    <xf numFmtId="4" fontId="7" fillId="10" borderId="21" xfId="0" applyNumberFormat="1" applyFont="1" applyFill="1" applyBorder="1" applyAlignment="1">
      <alignment horizontal="center" vertical="center" wrapText="1"/>
    </xf>
    <xf numFmtId="166" fontId="11" fillId="34" borderId="15" xfId="0" applyNumberFormat="1" applyFont="1" applyFill="1" applyBorder="1" applyAlignment="1">
      <alignment horizontal="center" vertical="center" wrapText="1"/>
    </xf>
    <xf numFmtId="166" fontId="11" fillId="34" borderId="20" xfId="0" applyNumberFormat="1" applyFont="1" applyFill="1" applyBorder="1" applyAlignment="1">
      <alignment horizontal="center" vertical="center" wrapText="1"/>
    </xf>
    <xf numFmtId="166" fontId="11" fillId="34" borderId="21" xfId="0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center" vertical="center" wrapText="1"/>
    </xf>
    <xf numFmtId="0" fontId="56" fillId="25" borderId="27" xfId="0" applyFont="1" applyFill="1" applyBorder="1" applyAlignment="1">
      <alignment horizontal="left" vertical="center" wrapText="1"/>
    </xf>
    <xf numFmtId="0" fontId="56" fillId="25" borderId="28" xfId="0" applyFont="1" applyFill="1" applyBorder="1" applyAlignment="1">
      <alignment horizontal="left" vertical="center" wrapText="1"/>
    </xf>
    <xf numFmtId="0" fontId="1" fillId="13" borderId="25" xfId="0" applyFont="1" applyFill="1" applyBorder="1" applyAlignment="1">
      <alignment horizontal="center" vertical="center" wrapText="1"/>
    </xf>
    <xf numFmtId="167" fontId="33" fillId="2" borderId="41" xfId="0" applyNumberFormat="1" applyFont="1" applyFill="1" applyBorder="1" applyAlignment="1">
      <alignment horizontal="center" vertical="center" wrapText="1"/>
    </xf>
    <xf numFmtId="0" fontId="1" fillId="20" borderId="75" xfId="0" applyFont="1" applyFill="1" applyBorder="1" applyAlignment="1">
      <alignment horizontal="center" vertical="center" wrapText="1"/>
    </xf>
    <xf numFmtId="0" fontId="1" fillId="20" borderId="76" xfId="0" applyFont="1" applyFill="1" applyBorder="1" applyAlignment="1">
      <alignment horizontal="center" vertical="center" wrapText="1"/>
    </xf>
    <xf numFmtId="0" fontId="1" fillId="20" borderId="77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175" fontId="7" fillId="6" borderId="6" xfId="0" applyNumberFormat="1" applyFont="1" applyFill="1" applyBorder="1" applyAlignment="1">
      <alignment horizontal="center" vertical="center" wrapText="1"/>
    </xf>
    <xf numFmtId="175" fontId="7" fillId="10" borderId="6" xfId="0" applyNumberFormat="1" applyFont="1" applyFill="1" applyBorder="1" applyAlignment="1">
      <alignment horizontal="center" vertical="center" wrapText="1"/>
    </xf>
    <xf numFmtId="0" fontId="21" fillId="11" borderId="47" xfId="0" applyFont="1" applyFill="1" applyBorder="1" applyAlignment="1">
      <alignment horizontal="center"/>
    </xf>
    <xf numFmtId="0" fontId="21" fillId="11" borderId="52" xfId="0" applyFont="1" applyFill="1" applyBorder="1" applyAlignment="1">
      <alignment horizontal="center"/>
    </xf>
    <xf numFmtId="0" fontId="21" fillId="11" borderId="74" xfId="0" applyFont="1" applyFill="1" applyBorder="1" applyAlignment="1">
      <alignment horizontal="center"/>
    </xf>
    <xf numFmtId="167" fontId="14" fillId="11" borderId="53" xfId="0" applyNumberFormat="1" applyFont="1" applyFill="1" applyBorder="1" applyAlignment="1">
      <alignment horizontal="center" wrapText="1"/>
    </xf>
    <xf numFmtId="167" fontId="14" fillId="11" borderId="48" xfId="0" applyNumberFormat="1" applyFont="1" applyFill="1" applyBorder="1" applyAlignment="1">
      <alignment horizontal="center" wrapText="1"/>
    </xf>
    <xf numFmtId="0" fontId="1" fillId="33" borderId="26" xfId="0" applyFont="1" applyFill="1" applyBorder="1" applyAlignment="1">
      <alignment horizontal="center" vertical="center" wrapText="1"/>
    </xf>
    <xf numFmtId="0" fontId="1" fillId="33" borderId="27" xfId="0" applyFont="1" applyFill="1" applyBorder="1" applyAlignment="1">
      <alignment horizontal="center" vertical="center" wrapText="1"/>
    </xf>
    <xf numFmtId="0" fontId="1" fillId="33" borderId="28" xfId="0" applyFont="1" applyFill="1" applyBorder="1" applyAlignment="1">
      <alignment horizontal="center" vertical="center" wrapText="1"/>
    </xf>
    <xf numFmtId="0" fontId="28" fillId="15" borderId="6" xfId="0" applyFont="1" applyFill="1" applyBorder="1" applyAlignment="1">
      <alignment horizontal="center" vertical="center" wrapText="1"/>
    </xf>
    <xf numFmtId="167" fontId="13" fillId="16" borderId="53" xfId="0" applyNumberFormat="1" applyFont="1" applyFill="1" applyBorder="1" applyAlignment="1">
      <alignment horizontal="center" wrapText="1"/>
    </xf>
    <xf numFmtId="167" fontId="13" fillId="16" borderId="48" xfId="0" applyNumberFormat="1" applyFont="1" applyFill="1" applyBorder="1" applyAlignment="1">
      <alignment horizontal="center" wrapText="1"/>
    </xf>
    <xf numFmtId="0" fontId="28" fillId="26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6" fillId="25" borderId="0" xfId="0" applyFont="1" applyFill="1" applyAlignment="1">
      <alignment horizontal="left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12" borderId="1" xfId="0" applyFill="1" applyBorder="1" applyAlignment="1">
      <alignment horizontal="left" wrapText="1"/>
    </xf>
    <xf numFmtId="0" fontId="0" fillId="13" borderId="1" xfId="0" applyFill="1" applyBorder="1" applyAlignment="1">
      <alignment horizontal="left" wrapText="1"/>
    </xf>
    <xf numFmtId="0" fontId="0" fillId="10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9" fontId="1" fillId="12" borderId="1" xfId="0" applyNumberFormat="1" applyFont="1" applyFill="1" applyBorder="1" applyAlignment="1">
      <alignment horizontal="center"/>
    </xf>
    <xf numFmtId="169" fontId="0" fillId="12" borderId="1" xfId="0" applyNumberFormat="1" applyFill="1" applyBorder="1" applyAlignment="1">
      <alignment horizontal="center"/>
    </xf>
    <xf numFmtId="169" fontId="0" fillId="13" borderId="1" xfId="0" applyNumberFormat="1" applyFill="1" applyBorder="1" applyAlignment="1">
      <alignment horizontal="center"/>
    </xf>
    <xf numFmtId="169" fontId="0" fillId="10" borderId="1" xfId="0" applyNumberForma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4" fillId="24" borderId="26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34" fillId="24" borderId="28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34" fillId="26" borderId="20" xfId="0" applyFont="1" applyFill="1" applyBorder="1" applyAlignment="1">
      <alignment horizontal="center" vertical="center"/>
    </xf>
    <xf numFmtId="0" fontId="34" fillId="26" borderId="21" xfId="0" applyFont="1" applyFill="1" applyBorder="1" applyAlignment="1">
      <alignment horizontal="center" vertical="center"/>
    </xf>
    <xf numFmtId="0" fontId="34" fillId="12" borderId="15" xfId="0" applyFont="1" applyFill="1" applyBorder="1" applyAlignment="1">
      <alignment horizontal="center" vertical="center"/>
    </xf>
    <xf numFmtId="0" fontId="34" fillId="12" borderId="20" xfId="0" applyFont="1" applyFill="1" applyBorder="1" applyAlignment="1">
      <alignment horizontal="center" vertical="center"/>
    </xf>
    <xf numFmtId="0" fontId="34" fillId="12" borderId="21" xfId="0" applyFont="1" applyFill="1" applyBorder="1" applyAlignment="1">
      <alignment horizontal="center" vertical="center"/>
    </xf>
    <xf numFmtId="0" fontId="34" fillId="6" borderId="15" xfId="0" applyFont="1" applyFill="1" applyBorder="1" applyAlignment="1">
      <alignment horizontal="center"/>
    </xf>
    <xf numFmtId="0" fontId="34" fillId="6" borderId="20" xfId="0" applyFont="1" applyFill="1" applyBorder="1" applyAlignment="1">
      <alignment horizontal="center"/>
    </xf>
    <xf numFmtId="0" fontId="34" fillId="6" borderId="21" xfId="0" applyFont="1" applyFill="1" applyBorder="1" applyAlignment="1">
      <alignment horizontal="center"/>
    </xf>
    <xf numFmtId="16" fontId="6" fillId="0" borderId="15" xfId="0" applyNumberFormat="1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16" fontId="6" fillId="0" borderId="21" xfId="0" applyNumberFormat="1" applyFont="1" applyBorder="1" applyAlignment="1">
      <alignment horizontal="center"/>
    </xf>
    <xf numFmtId="0" fontId="48" fillId="18" borderId="15" xfId="0" applyFont="1" applyFill="1" applyBorder="1" applyAlignment="1">
      <alignment horizontal="center" vertical="center"/>
    </xf>
    <xf numFmtId="0" fontId="48" fillId="18" borderId="20" xfId="0" applyFont="1" applyFill="1" applyBorder="1" applyAlignment="1">
      <alignment horizontal="center" vertical="center"/>
    </xf>
    <xf numFmtId="0" fontId="48" fillId="18" borderId="21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4" fillId="27" borderId="15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21" fillId="18" borderId="15" xfId="0" applyFont="1" applyFill="1" applyBorder="1" applyAlignment="1">
      <alignment horizontal="center" vertical="center"/>
    </xf>
    <xf numFmtId="0" fontId="21" fillId="18" borderId="20" xfId="0" applyFont="1" applyFill="1" applyBorder="1" applyAlignment="1">
      <alignment horizontal="center" vertical="center"/>
    </xf>
    <xf numFmtId="0" fontId="21" fillId="18" borderId="21" xfId="0" applyFont="1" applyFill="1" applyBorder="1" applyAlignment="1">
      <alignment horizontal="center" vertical="center"/>
    </xf>
    <xf numFmtId="2" fontId="42" fillId="10" borderId="15" xfId="0" applyNumberFormat="1" applyFont="1" applyFill="1" applyBorder="1" applyAlignment="1">
      <alignment horizontal="center" vertical="center" wrapText="1"/>
    </xf>
    <xf numFmtId="2" fontId="42" fillId="10" borderId="21" xfId="0" applyNumberFormat="1" applyFont="1" applyFill="1" applyBorder="1" applyAlignment="1">
      <alignment horizontal="center" vertical="center" wrapText="1"/>
    </xf>
    <xf numFmtId="2" fontId="42" fillId="10" borderId="6" xfId="0" applyNumberFormat="1" applyFont="1" applyFill="1" applyBorder="1" applyAlignment="1">
      <alignment horizontal="center" vertical="center" wrapText="1"/>
    </xf>
    <xf numFmtId="0" fontId="34" fillId="21" borderId="15" xfId="0" applyFont="1" applyFill="1" applyBorder="1" applyAlignment="1">
      <alignment horizontal="center" vertical="center" wrapText="1"/>
    </xf>
    <xf numFmtId="0" fontId="34" fillId="21" borderId="20" xfId="0" applyFont="1" applyFill="1" applyBorder="1" applyAlignment="1">
      <alignment horizontal="center" vertical="center" wrapText="1"/>
    </xf>
    <xf numFmtId="0" fontId="34" fillId="21" borderId="21" xfId="0" applyFont="1" applyFill="1" applyBorder="1" applyAlignment="1">
      <alignment horizontal="center" vertical="center" wrapText="1"/>
    </xf>
    <xf numFmtId="0" fontId="28" fillId="26" borderId="27" xfId="0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" fontId="6" fillId="0" borderId="14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0" fillId="1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67" fontId="1" fillId="33" borderId="15" xfId="0" applyNumberFormat="1" applyFont="1" applyFill="1" applyBorder="1" applyAlignment="1">
      <alignment horizontal="center" vertical="center" wrapText="1"/>
    </xf>
    <xf numFmtId="167" fontId="1" fillId="33" borderId="20" xfId="0" applyNumberFormat="1" applyFont="1" applyFill="1" applyBorder="1" applyAlignment="1">
      <alignment horizontal="center" vertical="center" wrapText="1"/>
    </xf>
    <xf numFmtId="167" fontId="1" fillId="33" borderId="21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167" fontId="1" fillId="38" borderId="15" xfId="0" applyNumberFormat="1" applyFont="1" applyFill="1" applyBorder="1" applyAlignment="1">
      <alignment horizontal="center" vertical="center" wrapText="1"/>
    </xf>
    <xf numFmtId="167" fontId="1" fillId="38" borderId="20" xfId="0" applyNumberFormat="1" applyFont="1" applyFill="1" applyBorder="1" applyAlignment="1">
      <alignment horizontal="center" vertical="center" wrapText="1"/>
    </xf>
    <xf numFmtId="167" fontId="1" fillId="38" borderId="21" xfId="0" applyNumberFormat="1" applyFont="1" applyFill="1" applyBorder="1" applyAlignment="1">
      <alignment horizontal="center" vertical="center" wrapText="1"/>
    </xf>
    <xf numFmtId="167" fontId="1" fillId="13" borderId="15" xfId="0" applyNumberFormat="1" applyFont="1" applyFill="1" applyBorder="1" applyAlignment="1">
      <alignment horizontal="center" vertical="center" wrapText="1"/>
    </xf>
    <xf numFmtId="167" fontId="1" fillId="13" borderId="20" xfId="0" applyNumberFormat="1" applyFont="1" applyFill="1" applyBorder="1" applyAlignment="1">
      <alignment horizontal="center" vertical="center" wrapText="1"/>
    </xf>
    <xf numFmtId="167" fontId="1" fillId="13" borderId="21" xfId="0" applyNumberFormat="1" applyFont="1" applyFill="1" applyBorder="1" applyAlignment="1">
      <alignment horizontal="center" vertical="center" wrapText="1"/>
    </xf>
    <xf numFmtId="167" fontId="1" fillId="21" borderId="22" xfId="0" applyNumberFormat="1" applyFont="1" applyFill="1" applyBorder="1" applyAlignment="1">
      <alignment horizontal="center" vertical="center" wrapText="1"/>
    </xf>
    <xf numFmtId="167" fontId="1" fillId="21" borderId="23" xfId="0" applyNumberFormat="1" applyFont="1" applyFill="1" applyBorder="1" applyAlignment="1">
      <alignment horizontal="center" vertical="center" wrapText="1"/>
    </xf>
    <xf numFmtId="167" fontId="1" fillId="21" borderId="24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167" fontId="14" fillId="2" borderId="15" xfId="0" applyNumberFormat="1" applyFont="1" applyFill="1" applyBorder="1" applyAlignment="1">
      <alignment horizontal="center" vertical="center" wrapText="1"/>
    </xf>
    <xf numFmtId="167" fontId="14" fillId="2" borderId="20" xfId="0" applyNumberFormat="1" applyFont="1" applyFill="1" applyBorder="1" applyAlignment="1">
      <alignment horizontal="center" vertical="center" wrapText="1"/>
    </xf>
    <xf numFmtId="167" fontId="14" fillId="2" borderId="21" xfId="0" applyNumberFormat="1" applyFont="1" applyFill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5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38" fillId="2" borderId="92" xfId="0" applyFont="1" applyFill="1" applyBorder="1" applyAlignment="1">
      <alignment horizontal="center" vertical="center" wrapText="1"/>
    </xf>
    <xf numFmtId="0" fontId="38" fillId="2" borderId="93" xfId="0" applyFont="1" applyFill="1" applyBorder="1" applyAlignment="1">
      <alignment horizontal="center" vertical="center" wrapText="1"/>
    </xf>
    <xf numFmtId="0" fontId="38" fillId="2" borderId="94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1" fillId="0" borderId="125" xfId="0" applyFont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 wrapText="1"/>
    </xf>
    <xf numFmtId="167" fontId="46" fillId="0" borderId="6" xfId="0" applyNumberFormat="1" applyFont="1" applyBorder="1" applyAlignment="1">
      <alignment horizontal="center" vertical="top" wrapText="1"/>
    </xf>
    <xf numFmtId="0" fontId="21" fillId="15" borderId="22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167" fontId="46" fillId="0" borderId="6" xfId="0" applyNumberFormat="1" applyFont="1" applyBorder="1" applyAlignment="1">
      <alignment horizontal="center" vertical="center" wrapText="1"/>
    </xf>
    <xf numFmtId="0" fontId="21" fillId="39" borderId="26" xfId="0" applyFont="1" applyFill="1" applyBorder="1" applyAlignment="1">
      <alignment horizontal="center" vertical="center"/>
    </xf>
    <xf numFmtId="0" fontId="21" fillId="39" borderId="2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16" fontId="6" fillId="0" borderId="124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 wrapText="1"/>
    </xf>
    <xf numFmtId="0" fontId="58" fillId="39" borderId="51" xfId="0" applyFont="1" applyFill="1" applyBorder="1" applyAlignment="1">
      <alignment horizontal="center" vertical="center"/>
    </xf>
    <xf numFmtId="0" fontId="58" fillId="39" borderId="0" xfId="0" applyFont="1" applyFill="1" applyBorder="1" applyAlignment="1">
      <alignment horizontal="center" vertical="center"/>
    </xf>
    <xf numFmtId="0" fontId="58" fillId="39" borderId="26" xfId="0" applyFont="1" applyFill="1" applyBorder="1" applyAlignment="1">
      <alignment horizontal="center" vertical="center"/>
    </xf>
    <xf numFmtId="0" fontId="58" fillId="39" borderId="27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167" fontId="0" fillId="0" borderId="6" xfId="0" applyNumberFormat="1" applyBorder="1" applyAlignment="1">
      <alignment horizontal="center"/>
    </xf>
    <xf numFmtId="0" fontId="21" fillId="6" borderId="51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167" fontId="11" fillId="0" borderId="15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" fontId="25" fillId="2" borderId="15" xfId="0" applyNumberFormat="1" applyFont="1" applyFill="1" applyBorder="1" applyAlignment="1">
      <alignment horizontal="center" vertical="center" wrapText="1"/>
    </xf>
    <xf numFmtId="16" fontId="25" fillId="2" borderId="20" xfId="0" applyNumberFormat="1" applyFont="1" applyFill="1" applyBorder="1" applyAlignment="1">
      <alignment horizontal="center" vertical="center" wrapText="1"/>
    </xf>
    <xf numFmtId="16" fontId="25" fillId="2" borderId="21" xfId="0" applyNumberFormat="1" applyFont="1" applyFill="1" applyBorder="1" applyAlignment="1">
      <alignment horizontal="center" vertical="center" wrapText="1"/>
    </xf>
    <xf numFmtId="16" fontId="28" fillId="0" borderId="15" xfId="0" applyNumberFormat="1" applyFont="1" applyBorder="1" applyAlignment="1">
      <alignment horizontal="center" vertical="center"/>
    </xf>
    <xf numFmtId="16" fontId="28" fillId="0" borderId="21" xfId="0" applyNumberFormat="1" applyFont="1" applyBorder="1" applyAlignment="1">
      <alignment horizontal="center" vertical="center"/>
    </xf>
    <xf numFmtId="16" fontId="11" fillId="2" borderId="15" xfId="0" applyNumberFormat="1" applyFont="1" applyFill="1" applyBorder="1" applyAlignment="1">
      <alignment horizontal="center" vertical="center"/>
    </xf>
    <xf numFmtId="16" fontId="11" fillId="2" borderId="21" xfId="0" applyNumberFormat="1" applyFont="1" applyFill="1" applyBorder="1" applyAlignment="1">
      <alignment horizontal="center" vertical="center"/>
    </xf>
    <xf numFmtId="167" fontId="28" fillId="0" borderId="15" xfId="0" applyNumberFormat="1" applyFont="1" applyBorder="1" applyAlignment="1">
      <alignment horizontal="center" vertical="center"/>
    </xf>
    <xf numFmtId="167" fontId="28" fillId="0" borderId="20" xfId="0" applyNumberFormat="1" applyFont="1" applyBorder="1" applyAlignment="1">
      <alignment horizontal="center" vertical="center"/>
    </xf>
    <xf numFmtId="167" fontId="28" fillId="0" borderId="21" xfId="0" applyNumberFormat="1" applyFont="1" applyBorder="1" applyAlignment="1">
      <alignment horizontal="center" vertical="center"/>
    </xf>
    <xf numFmtId="16" fontId="11" fillId="2" borderId="20" xfId="0" applyNumberFormat="1" applyFont="1" applyFill="1" applyBorder="1" applyAlignment="1">
      <alignment horizontal="center" vertical="center"/>
    </xf>
    <xf numFmtId="16" fontId="25" fillId="2" borderId="6" xfId="0" applyNumberFormat="1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center"/>
    </xf>
    <xf numFmtId="0" fontId="21" fillId="10" borderId="6" xfId="0" applyFont="1" applyFill="1" applyBorder="1" applyAlignment="1">
      <alignment horizontal="left" vertical="center"/>
    </xf>
    <xf numFmtId="167" fontId="29" fillId="30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9" fillId="3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7" fontId="29" fillId="30" borderId="20" xfId="0" applyNumberFormat="1" applyFont="1" applyFill="1" applyBorder="1" applyAlignment="1">
      <alignment horizontal="center" vertical="center" wrapText="1"/>
    </xf>
    <xf numFmtId="167" fontId="29" fillId="30" borderId="21" xfId="0" applyNumberFormat="1" applyFont="1" applyFill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167" fontId="1" fillId="0" borderId="28" xfId="0" applyNumberFormat="1" applyFont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center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14" borderId="22" xfId="0" applyFont="1" applyFill="1" applyBorder="1" applyAlignment="1">
      <alignment horizontal="center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1" xfId="0" applyFont="1" applyFill="1" applyBorder="1" applyAlignment="1">
      <alignment horizontal="center" vertical="center"/>
    </xf>
    <xf numFmtId="0" fontId="21" fillId="14" borderId="0" xfId="0" applyFont="1" applyFill="1" applyBorder="1" applyAlignment="1">
      <alignment horizontal="center" vertical="center"/>
    </xf>
    <xf numFmtId="0" fontId="21" fillId="14" borderId="27" xfId="0" applyFont="1" applyFill="1" applyBorder="1" applyAlignment="1">
      <alignment horizontal="center" vertical="center"/>
    </xf>
    <xf numFmtId="0" fontId="21" fillId="14" borderId="28" xfId="0" applyFont="1" applyFill="1" applyBorder="1" applyAlignment="1">
      <alignment horizontal="center" vertical="center"/>
    </xf>
    <xf numFmtId="0" fontId="21" fillId="30" borderId="6" xfId="0" applyFont="1" applyFill="1" applyBorder="1" applyAlignment="1">
      <alignment horizontal="center" vertical="center"/>
    </xf>
    <xf numFmtId="0" fontId="29" fillId="29" borderId="6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16" fontId="31" fillId="4" borderId="6" xfId="0" applyNumberFormat="1" applyFont="1" applyFill="1" applyBorder="1" applyAlignment="1">
      <alignment horizontal="center"/>
    </xf>
    <xf numFmtId="16" fontId="31" fillId="6" borderId="6" xfId="0" applyNumberFormat="1" applyFont="1" applyFill="1" applyBorder="1" applyAlignment="1">
      <alignment horizontal="center"/>
    </xf>
    <xf numFmtId="16" fontId="47" fillId="30" borderId="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9" borderId="15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/>
    </xf>
    <xf numFmtId="0" fontId="32" fillId="24" borderId="6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6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1" fillId="29" borderId="116" xfId="0" applyFont="1" applyFill="1" applyBorder="1" applyAlignment="1">
      <alignment horizontal="center" vertical="center"/>
    </xf>
    <xf numFmtId="0" fontId="1" fillId="29" borderId="117" xfId="0" applyFont="1" applyFill="1" applyBorder="1" applyAlignment="1">
      <alignment horizontal="center" vertical="center"/>
    </xf>
    <xf numFmtId="0" fontId="1" fillId="29" borderId="118" xfId="0" applyFont="1" applyFill="1" applyBorder="1" applyAlignment="1">
      <alignment horizontal="center" vertical="center"/>
    </xf>
    <xf numFmtId="172" fontId="1" fillId="20" borderId="119" xfId="0" applyNumberFormat="1" applyFont="1" applyFill="1" applyBorder="1" applyAlignment="1">
      <alignment horizontal="center" vertical="center"/>
    </xf>
    <xf numFmtId="172" fontId="1" fillId="20" borderId="17" xfId="0" applyNumberFormat="1" applyFont="1" applyFill="1" applyBorder="1" applyAlignment="1">
      <alignment horizontal="center" vertical="center"/>
    </xf>
    <xf numFmtId="172" fontId="1" fillId="20" borderId="120" xfId="0" applyNumberFormat="1" applyFont="1" applyFill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1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167" fontId="3" fillId="4" borderId="15" xfId="0" applyNumberFormat="1" applyFont="1" applyFill="1" applyBorder="1" applyAlignment="1">
      <alignment horizontal="center" vertical="center"/>
    </xf>
    <xf numFmtId="167" fontId="3" fillId="4" borderId="20" xfId="0" applyNumberFormat="1" applyFont="1" applyFill="1" applyBorder="1" applyAlignment="1">
      <alignment horizontal="center" vertical="center"/>
    </xf>
    <xf numFmtId="167" fontId="3" fillId="4" borderId="21" xfId="0" applyNumberFormat="1" applyFont="1" applyFill="1" applyBorder="1" applyAlignment="1">
      <alignment horizontal="center" vertical="center"/>
    </xf>
    <xf numFmtId="172" fontId="1" fillId="14" borderId="15" xfId="0" applyNumberFormat="1" applyFont="1" applyFill="1" applyBorder="1" applyAlignment="1">
      <alignment horizontal="center" vertical="center"/>
    </xf>
    <xf numFmtId="172" fontId="1" fillId="14" borderId="20" xfId="0" applyNumberFormat="1" applyFont="1" applyFill="1" applyBorder="1" applyAlignment="1">
      <alignment horizontal="center" vertical="center"/>
    </xf>
    <xf numFmtId="172" fontId="1" fillId="14" borderId="21" xfId="0" applyNumberFormat="1" applyFont="1" applyFill="1" applyBorder="1" applyAlignment="1">
      <alignment horizontal="center" vertical="center"/>
    </xf>
    <xf numFmtId="0" fontId="1" fillId="42" borderId="15" xfId="0" applyFont="1" applyFill="1" applyBorder="1" applyAlignment="1">
      <alignment horizontal="center" vertical="center"/>
    </xf>
    <xf numFmtId="0" fontId="1" fillId="42" borderId="20" xfId="0" applyFont="1" applyFill="1" applyBorder="1" applyAlignment="1">
      <alignment horizontal="center" vertical="center"/>
    </xf>
    <xf numFmtId="0" fontId="1" fillId="42" borderId="21" xfId="0" applyFont="1" applyFill="1" applyBorder="1" applyAlignment="1">
      <alignment horizontal="center" vertical="center"/>
    </xf>
    <xf numFmtId="0" fontId="27" fillId="0" borderId="122" xfId="2" applyNumberFormat="1" applyBorder="1"/>
    <xf numFmtId="0" fontId="27" fillId="0" borderId="123" xfId="2" applyNumberFormat="1" applyBorder="1"/>
  </cellXfs>
  <cellStyles count="3">
    <cellStyle name="Hyperlink" xfId="1" xr:uid="{00000000-0005-0000-0000-000000000000}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33252</xdr:colOff>
      <xdr:row>22</xdr:row>
      <xdr:rowOff>170111</xdr:rowOff>
    </xdr:from>
    <xdr:to>
      <xdr:col>1</xdr:col>
      <xdr:colOff>3001322</xdr:colOff>
      <xdr:row>38</xdr:row>
      <xdr:rowOff>49877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C45CE5-B80D-004D-953E-DAF29BBDC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72" y="5481943"/>
          <a:ext cx="2968070" cy="293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promtehalp.ru/" TargetMode="External"/><Relationship Id="rId1" Type="http://schemas.openxmlformats.org/officeDocument/2006/relationships/hyperlink" Target="mailto:promtehalp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EE29-8966-2B4F-8688-0AB506B0580F}">
  <dimension ref="A1:A3"/>
  <sheetViews>
    <sheetView zoomScaleNormal="60" zoomScaleSheetLayoutView="100" workbookViewId="0">
      <selection activeCell="A3" sqref="A3"/>
    </sheetView>
  </sheetViews>
  <sheetFormatPr defaultRowHeight="15" x14ac:dyDescent="0.25"/>
  <cols>
    <col min="1" max="1" width="37.7109375" customWidth="1"/>
  </cols>
  <sheetData>
    <row r="1" spans="1:1" ht="120.75" thickBot="1" x14ac:dyDescent="0.3">
      <c r="A1" s="577" t="s">
        <v>621</v>
      </c>
    </row>
    <row r="2" spans="1:1" ht="15.75" thickBot="1" x14ac:dyDescent="0.3">
      <c r="A2" s="578" t="s">
        <v>620</v>
      </c>
    </row>
    <row r="3" spans="1:1" ht="15.75" thickBot="1" x14ac:dyDescent="0.3">
      <c r="A3" s="576" t="s">
        <v>871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opLeftCell="A25" zoomScaleNormal="60" zoomScaleSheetLayoutView="100" workbookViewId="0">
      <selection activeCell="E46" sqref="E46"/>
    </sheetView>
  </sheetViews>
  <sheetFormatPr defaultColWidth="8.5703125" defaultRowHeight="15" x14ac:dyDescent="0.25"/>
  <cols>
    <col min="1" max="1" width="46.42578125" style="204" customWidth="1"/>
    <col min="2" max="16384" width="8.5703125" style="204"/>
  </cols>
  <sheetData>
    <row r="1" spans="1:1" x14ac:dyDescent="0.25">
      <c r="A1" s="757" t="s">
        <v>869</v>
      </c>
    </row>
    <row r="2" spans="1:1" ht="21" x14ac:dyDescent="0.25">
      <c r="A2" s="240" t="s">
        <v>304</v>
      </c>
    </row>
    <row r="3" spans="1:1" x14ac:dyDescent="0.25">
      <c r="A3" s="237" t="s">
        <v>232</v>
      </c>
    </row>
    <row r="4" spans="1:1" x14ac:dyDescent="0.25">
      <c r="A4" s="238" t="s">
        <v>233</v>
      </c>
    </row>
    <row r="5" spans="1:1" x14ac:dyDescent="0.25">
      <c r="A5" s="242" t="s">
        <v>818</v>
      </c>
    </row>
    <row r="6" spans="1:1" x14ac:dyDescent="0.25">
      <c r="A6" s="238" t="s">
        <v>234</v>
      </c>
    </row>
    <row r="7" spans="1:1" x14ac:dyDescent="0.25">
      <c r="A7" s="238" t="s">
        <v>235</v>
      </c>
    </row>
    <row r="8" spans="1:1" x14ac:dyDescent="0.25">
      <c r="A8" s="238" t="s">
        <v>236</v>
      </c>
    </row>
    <row r="9" spans="1:1" x14ac:dyDescent="0.25">
      <c r="A9" s="238" t="s">
        <v>237</v>
      </c>
    </row>
    <row r="10" spans="1:1" x14ac:dyDescent="0.25">
      <c r="A10" s="237" t="s">
        <v>238</v>
      </c>
    </row>
    <row r="11" spans="1:1" x14ac:dyDescent="0.25">
      <c r="A11" s="238" t="s">
        <v>239</v>
      </c>
    </row>
    <row r="12" spans="1:1" x14ac:dyDescent="0.25">
      <c r="A12" s="238" t="s">
        <v>240</v>
      </c>
    </row>
    <row r="13" spans="1:1" x14ac:dyDescent="0.25">
      <c r="A13" s="238" t="s">
        <v>241</v>
      </c>
    </row>
    <row r="14" spans="1:1" x14ac:dyDescent="0.25">
      <c r="A14" s="242" t="s">
        <v>619</v>
      </c>
    </row>
    <row r="15" spans="1:1" x14ac:dyDescent="0.25">
      <c r="A15" s="238" t="s">
        <v>242</v>
      </c>
    </row>
    <row r="16" spans="1:1" x14ac:dyDescent="0.25">
      <c r="A16" s="238" t="s">
        <v>243</v>
      </c>
    </row>
    <row r="17" spans="1:3" x14ac:dyDescent="0.25">
      <c r="A17" s="238" t="s">
        <v>244</v>
      </c>
    </row>
    <row r="18" spans="1:3" x14ac:dyDescent="0.25">
      <c r="A18" s="242" t="s">
        <v>866</v>
      </c>
    </row>
    <row r="19" spans="1:3" x14ac:dyDescent="0.25">
      <c r="A19" s="238" t="s">
        <v>245</v>
      </c>
    </row>
    <row r="20" spans="1:3" x14ac:dyDescent="0.25">
      <c r="A20" s="238" t="s">
        <v>246</v>
      </c>
    </row>
    <row r="21" spans="1:3" x14ac:dyDescent="0.25">
      <c r="A21" s="238" t="s">
        <v>247</v>
      </c>
    </row>
    <row r="22" spans="1:3" x14ac:dyDescent="0.25">
      <c r="A22" s="238" t="s">
        <v>256</v>
      </c>
    </row>
    <row r="23" spans="1:3" x14ac:dyDescent="0.25">
      <c r="A23" s="238" t="s">
        <v>282</v>
      </c>
    </row>
    <row r="24" spans="1:3" x14ac:dyDescent="0.25">
      <c r="A24" s="238" t="s">
        <v>301</v>
      </c>
    </row>
    <row r="25" spans="1:3" x14ac:dyDescent="0.25">
      <c r="A25" s="242" t="s">
        <v>305</v>
      </c>
    </row>
    <row r="26" spans="1:3" x14ac:dyDescent="0.25">
      <c r="A26" s="242" t="s">
        <v>324</v>
      </c>
      <c r="C26" s="206"/>
    </row>
    <row r="27" spans="1:3" x14ac:dyDescent="0.25">
      <c r="A27" s="242" t="s">
        <v>341</v>
      </c>
    </row>
    <row r="28" spans="1:3" x14ac:dyDescent="0.25">
      <c r="A28" s="242" t="s">
        <v>355</v>
      </c>
    </row>
    <row r="29" spans="1:3" x14ac:dyDescent="0.25">
      <c r="A29" s="242" t="s">
        <v>370</v>
      </c>
    </row>
    <row r="30" spans="1:3" x14ac:dyDescent="0.25">
      <c r="A30" s="242" t="s">
        <v>415</v>
      </c>
    </row>
    <row r="31" spans="1:3" x14ac:dyDescent="0.25">
      <c r="A31" s="242" t="s">
        <v>416</v>
      </c>
    </row>
    <row r="32" spans="1:3" x14ac:dyDescent="0.25">
      <c r="A32" s="242" t="s">
        <v>417</v>
      </c>
    </row>
    <row r="33" spans="1:1" x14ac:dyDescent="0.25">
      <c r="A33" s="238" t="s">
        <v>523</v>
      </c>
    </row>
    <row r="34" spans="1:1" x14ac:dyDescent="0.25">
      <c r="A34" s="242" t="s">
        <v>587</v>
      </c>
    </row>
    <row r="35" spans="1:1" x14ac:dyDescent="0.25">
      <c r="A35" s="242" t="s">
        <v>617</v>
      </c>
    </row>
    <row r="36" spans="1:1" x14ac:dyDescent="0.25">
      <c r="A36" s="242" t="s">
        <v>624</v>
      </c>
    </row>
    <row r="37" spans="1:1" x14ac:dyDescent="0.25">
      <c r="A37" s="242" t="s">
        <v>788</v>
      </c>
    </row>
    <row r="38" spans="1:1" x14ac:dyDescent="0.25">
      <c r="A38" s="242" t="s">
        <v>789</v>
      </c>
    </row>
    <row r="39" spans="1:1" x14ac:dyDescent="0.25">
      <c r="A39" s="239"/>
    </row>
    <row r="40" spans="1:1" x14ac:dyDescent="0.25">
      <c r="A40" s="239"/>
    </row>
    <row r="41" spans="1:1" x14ac:dyDescent="0.25">
      <c r="A41" s="239"/>
    </row>
    <row r="42" spans="1:1" x14ac:dyDescent="0.25">
      <c r="A42" s="239"/>
    </row>
    <row r="43" spans="1:1" x14ac:dyDescent="0.25">
      <c r="A43" s="239"/>
    </row>
    <row r="44" spans="1:1" ht="15.75" thickBot="1" x14ac:dyDescent="0.3">
      <c r="A44" s="574"/>
    </row>
    <row r="45" spans="1:1" s="573" customFormat="1" ht="105.75" thickBot="1" x14ac:dyDescent="0.3">
      <c r="A45" s="575" t="s">
        <v>621</v>
      </c>
    </row>
    <row r="46" spans="1:1" ht="15.75" thickBot="1" x14ac:dyDescent="0.3">
      <c r="A46" s="578" t="s">
        <v>620</v>
      </c>
    </row>
    <row r="47" spans="1:1" ht="15.75" thickBot="1" x14ac:dyDescent="0.3">
      <c r="A47" s="576" t="s">
        <v>871</v>
      </c>
    </row>
    <row r="48" spans="1:1" ht="15.75" thickBot="1" x14ac:dyDescent="0.3"/>
    <row r="49" spans="1:1" x14ac:dyDescent="0.25">
      <c r="A49" s="761" t="s">
        <v>816</v>
      </c>
    </row>
    <row r="50" spans="1:1" x14ac:dyDescent="0.25">
      <c r="A50" s="758" t="s">
        <v>872</v>
      </c>
    </row>
    <row r="51" spans="1:1" x14ac:dyDescent="0.25">
      <c r="A51" s="1432" t="s">
        <v>873</v>
      </c>
    </row>
    <row r="52" spans="1:1" x14ac:dyDescent="0.25">
      <c r="A52" s="759" t="s">
        <v>874</v>
      </c>
    </row>
    <row r="53" spans="1:1" x14ac:dyDescent="0.25">
      <c r="A53" s="760" t="s">
        <v>875</v>
      </c>
    </row>
    <row r="54" spans="1:1" x14ac:dyDescent="0.25">
      <c r="A54" s="760" t="s">
        <v>876</v>
      </c>
    </row>
    <row r="55" spans="1:1" ht="15.75" thickBot="1" x14ac:dyDescent="0.3">
      <c r="A55" s="1433" t="s">
        <v>877</v>
      </c>
    </row>
    <row r="56" spans="1:1" x14ac:dyDescent="0.25">
      <c r="A56" s="323"/>
    </row>
  </sheetData>
  <hyperlinks>
    <hyperlink ref="A3" location="'1.1 Фасадные работы'!A1" display="1.1 Фасадные работы" xr:uid="{00000000-0004-0000-0000-000000000000}"/>
    <hyperlink ref="A4" location="'1.2 Русты'!A1" display="1.2 Русты" xr:uid="{00000000-0004-0000-0000-000001000000}"/>
    <hyperlink ref="A5" location="'1.3 Мокрый фасад'!A1" display="1.3 Утепление, мокрый фасад" xr:uid="{00000000-0004-0000-0000-000002000000}"/>
    <hyperlink ref="A6" location="'1.4 ПОДГОТОВКА'!A1" display="1.4 Подготовка" xr:uid="{00000000-0004-0000-0000-000003000000}"/>
    <hyperlink ref="A7" location="'1.5 СТЕКЛОПАКЕТЫ'!A1" display="1.5 Стеклопакеты" xr:uid="{00000000-0004-0000-0000-000004000000}"/>
    <hyperlink ref="A8" location="'1.6 БАННЕРА'!A1" display="1.6 Баннера" xr:uid="{00000000-0004-0000-0000-000005000000}"/>
    <hyperlink ref="A9" location="'1.7 Наплавляйка'!A1" display="1.7 Наплавляемая кровля" xr:uid="{00000000-0004-0000-0000-000006000000}"/>
    <hyperlink ref="A10" location="'1.8 Кровельный пирог'!A1" display="1.8 Кровельный пирог" xr:uid="{00000000-0004-0000-0000-000007000000}"/>
    <hyperlink ref="A11" location="'1.9 Леса и сетки'!A1" display="1.9 Леса и сетки" xr:uid="{00000000-0004-0000-0000-000008000000}"/>
    <hyperlink ref="A12" location="'1.10 Молдинги'!A1" display="1.10 Молдинги" xr:uid="{00000000-0004-0000-0000-000009000000}"/>
    <hyperlink ref="A13" location="'2.1 ВЕНТФАСАДЫ'!A1" display="2.1 Вентфасады" xr:uid="{00000000-0004-0000-0000-00000A000000}"/>
    <hyperlink ref="A14" location="'2.2 Очистка водосточки'!A1" display="2.2 Очистка водосточки" xr:uid="{00000000-0004-0000-0000-00000B000000}"/>
    <hyperlink ref="A15" location="'2.3 Такелажные работы'!A1" display="2.3 Такелажные работы" xr:uid="{00000000-0004-0000-0000-00000C000000}"/>
    <hyperlink ref="A16" location="'2.4 Сэндвич-панели'!A1" display="2.4 Сэндвич-панели" xr:uid="{00000000-0004-0000-0000-00000D000000}"/>
    <hyperlink ref="A17" location="'2.5 Герметизация мп швов'!A1" display="2.5 Герметизация м/п швов" xr:uid="{00000000-0004-0000-0000-00000E000000}"/>
    <hyperlink ref="A18" location="'2.6 Ставки, коэффициенты'!A1" display="2.6 Ставки, коэффициенты (повременная оплата)" xr:uid="{00000000-0004-0000-0000-00000F000000}"/>
    <hyperlink ref="A19" location="'2.7 АКЗ'!A1" display="2.7 АКЗ" xr:uid="{00000000-0004-0000-0000-000010000000}"/>
    <hyperlink ref="A20" location="'2.8 Маркировочная покраска'!A1" display="2.8 Маркировочная покраска" xr:uid="{00000000-0004-0000-0000-000011000000}"/>
    <hyperlink ref="A21" location="'2.9 Очистка фасада'!A1" display="2.9 Очистка фасада от различных загрязнений" xr:uid="{00000000-0004-0000-0000-000012000000}"/>
    <hyperlink ref="A22" location="'2.10 Пескоструй резервуаров'!A1" display="2.10 Пескоструйная очистка резервуаров (Sa 2,5)" xr:uid="{00000000-0004-0000-0000-000013000000}"/>
    <hyperlink ref="A23" location="'2.11 Пескоструй металла'!A1" display="2.11 Пескоструйная очистка металлоконструкций" xr:uid="{00000000-0004-0000-0000-000014000000}"/>
    <hyperlink ref="A24" location="'3.1 Деф.швы и молниеотводы'!A1" display="3.1 Деформационные шов и молниеотводы" xr:uid="{00000000-0004-0000-0000-000015000000}"/>
    <hyperlink ref="A25" location="'3.2 Кондиционеры'!A1" display="3.2 Кондиционеры" xr:uid="{00000000-0004-0000-0000-000016000000}"/>
    <hyperlink ref="A26" location="'3.3 Демонтаж дымовых труб'!A1" display="3.3 Демонтаж дымовых труб" xr:uid="{00000000-0004-0000-0000-000017000000}"/>
    <hyperlink ref="A27" location="'3.4 Защита склонов от осыпей'!A1" display="3.4 Защита склонов от осыпей" xr:uid="{00000000-0004-0000-0000-000018000000}"/>
    <hyperlink ref="A28" location="'3.5 Огнезащита'!A1" display="3.5 Огнезащита" xr:uid="{00000000-0004-0000-0000-000019000000}"/>
    <hyperlink ref="A29" location="'3.6 Клининг'!A1" display="3.6 Клининг" xr:uid="{00000000-0004-0000-0000-00001A000000}"/>
    <hyperlink ref="A30" location="'3.7 Деревья'!A1" display="3.7 Деревья" xr:uid="{00000000-0004-0000-0000-00001B000000}"/>
    <hyperlink ref="A31" location="'3.8 Буквы'!A1" display="3.8 Буквы" xr:uid="{00000000-0004-0000-0000-00001C000000}"/>
    <hyperlink ref="A32" location="'3.9 Воздуховоды'!A1" display="3.9 Воздуховоды" xr:uid="{00000000-0004-0000-0000-00001D000000}"/>
    <hyperlink ref="A33" location="'4.1 Фасадное освещение'!A1" display="4.1 Фасадное освещение" xr:uid="{00000000-0004-0000-0000-00001E000000}"/>
    <hyperlink ref="A34" location="'4.2 Корзины под сплиты'!A1" display="4.2 Корзины под сплиты" xr:uid="{0229BF45-D15A-D042-A2AD-F011604ED9C8}"/>
    <hyperlink ref="A35" location="'4.3 Снег, наледь, сосульки'!A1" display="4.3 Снег, наледь, сосульки" xr:uid="{2DAD7A73-17EC-C34A-B590-A347AC8E1210}"/>
    <hyperlink ref="A36" location="'4.4 Штукатурные работы'!B6" display="4.4 Штукатурные работы" xr:uid="{0061C4B0-AA1F-EB41-B9AF-24D71804B471}"/>
    <hyperlink ref="A37" location="'4.5 Водосточная система'!A1" display="4.5 Водосточная система" xr:uid="{BF9CFC0F-0642-7440-A329-F99EE8906302}"/>
    <hyperlink ref="A38" location="'4.6 ПНД трубы'!B6" display="4.6 ПНД трубы" xr:uid="{33BD9838-938A-E048-A7AF-3D826B8EE36D}"/>
    <hyperlink ref="A51" r:id="rId1" xr:uid="{8F916933-775B-F24B-BFC6-A013D72AE99B}"/>
    <hyperlink ref="A55" r:id="rId2" xr:uid="{D9E58373-7F67-0244-B225-4AD862500A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C36" sqref="C36"/>
    </sheetView>
  </sheetViews>
  <sheetFormatPr defaultRowHeight="15" x14ac:dyDescent="0.25"/>
  <cols>
    <col min="1" max="1" width="6.5703125" style="15" customWidth="1"/>
    <col min="2" max="2" width="53.28515625" style="18" bestFit="1" customWidth="1"/>
    <col min="3" max="3" width="10.42578125" customWidth="1"/>
    <col min="4" max="4" width="14.140625" bestFit="1" customWidth="1"/>
    <col min="5" max="5" width="12.7109375" style="18" bestFit="1" customWidth="1"/>
    <col min="6" max="7" width="8.5703125" hidden="1" customWidth="1"/>
  </cols>
  <sheetData>
    <row r="1" spans="1:7" ht="15.75" thickBot="1" x14ac:dyDescent="0.3">
      <c r="B1" s="755" t="str">
        <f>СОДЕРЖАНИЕ!A1</f>
        <v>Актуально на 01 апреля 2022</v>
      </c>
    </row>
    <row r="2" spans="1:7" ht="30.75" thickBot="1" x14ac:dyDescent="0.4">
      <c r="A2" s="854" t="s">
        <v>13</v>
      </c>
      <c r="B2" s="854"/>
      <c r="C2" s="854"/>
      <c r="D2" s="854"/>
      <c r="E2" s="236" t="s">
        <v>302</v>
      </c>
      <c r="G2" s="15" t="s">
        <v>544</v>
      </c>
    </row>
    <row r="3" spans="1:7" ht="15.75" thickBot="1" x14ac:dyDescent="0.3">
      <c r="A3" s="62" t="s">
        <v>1</v>
      </c>
      <c r="B3" s="398" t="s">
        <v>2</v>
      </c>
      <c r="C3" s="62" t="s">
        <v>3</v>
      </c>
      <c r="D3" s="62" t="s">
        <v>4</v>
      </c>
      <c r="E3" s="579" t="s">
        <v>622</v>
      </c>
    </row>
    <row r="4" spans="1:7" ht="30" x14ac:dyDescent="0.25">
      <c r="A4" s="19">
        <v>1</v>
      </c>
      <c r="B4" s="63" t="s">
        <v>5</v>
      </c>
      <c r="C4" s="19" t="s">
        <v>433</v>
      </c>
      <c r="D4" s="379">
        <f>MROUND((F4+F4*G4),5)</f>
        <v>165</v>
      </c>
      <c r="F4" s="379">
        <v>125</v>
      </c>
      <c r="G4" s="482">
        <f>инфляция!A2</f>
        <v>0.32590000000000002</v>
      </c>
    </row>
    <row r="5" spans="1:7" ht="18.75" x14ac:dyDescent="0.25">
      <c r="A5" s="19">
        <v>2</v>
      </c>
      <c r="B5" s="63" t="s">
        <v>6</v>
      </c>
      <c r="C5" s="19" t="s">
        <v>433</v>
      </c>
      <c r="D5" s="379">
        <f>MROUND((F5+F5*G5),5)</f>
        <v>105</v>
      </c>
      <c r="F5" s="379">
        <v>80</v>
      </c>
      <c r="G5" s="482">
        <f>G4</f>
        <v>0.32590000000000002</v>
      </c>
    </row>
    <row r="6" spans="1:7" ht="18.75" x14ac:dyDescent="0.25">
      <c r="A6" s="19">
        <v>3</v>
      </c>
      <c r="B6" s="660" t="s">
        <v>718</v>
      </c>
      <c r="C6" s="19" t="s">
        <v>433</v>
      </c>
      <c r="D6" s="662">
        <f>MROUND((F6+F6*G6),1)</f>
        <v>60</v>
      </c>
      <c r="F6" s="379">
        <v>45</v>
      </c>
      <c r="G6" s="482">
        <f t="shared" ref="G6:G23" si="0">G5</f>
        <v>0.32590000000000002</v>
      </c>
    </row>
    <row r="7" spans="1:7" ht="18.75" x14ac:dyDescent="0.25">
      <c r="A7" s="19"/>
      <c r="B7" s="661" t="s">
        <v>720</v>
      </c>
      <c r="C7" s="19" t="s">
        <v>433</v>
      </c>
      <c r="D7" s="663">
        <f>MROUND((F7+F7*G7),1)</f>
        <v>45</v>
      </c>
      <c r="F7" s="379">
        <v>34</v>
      </c>
      <c r="G7" s="482">
        <f t="shared" si="0"/>
        <v>0.32590000000000002</v>
      </c>
    </row>
    <row r="8" spans="1:7" ht="30" x14ac:dyDescent="0.25">
      <c r="A8" s="19">
        <v>4</v>
      </c>
      <c r="B8" s="660" t="s">
        <v>717</v>
      </c>
      <c r="C8" s="19" t="s">
        <v>433</v>
      </c>
      <c r="D8" s="662">
        <f>MROUND((F8+F8*G8),5)</f>
        <v>100</v>
      </c>
      <c r="F8" s="379">
        <v>75</v>
      </c>
      <c r="G8" s="482">
        <f t="shared" si="0"/>
        <v>0.32590000000000002</v>
      </c>
    </row>
    <row r="9" spans="1:7" ht="30" x14ac:dyDescent="0.25">
      <c r="A9" s="19"/>
      <c r="B9" s="661" t="s">
        <v>716</v>
      </c>
      <c r="C9" s="19" t="s">
        <v>433</v>
      </c>
      <c r="D9" s="663">
        <f t="shared" ref="D9:D20" si="1">MROUND((F9+F9*G9),5)</f>
        <v>75</v>
      </c>
      <c r="F9" s="379">
        <v>57</v>
      </c>
      <c r="G9" s="482">
        <f t="shared" si="0"/>
        <v>0.32590000000000002</v>
      </c>
    </row>
    <row r="10" spans="1:7" ht="18.75" x14ac:dyDescent="0.25">
      <c r="A10" s="19">
        <v>5</v>
      </c>
      <c r="B10" s="660" t="s">
        <v>721</v>
      </c>
      <c r="C10" s="19" t="s">
        <v>433</v>
      </c>
      <c r="D10" s="662">
        <f t="shared" si="1"/>
        <v>125</v>
      </c>
      <c r="F10" s="379">
        <v>95</v>
      </c>
      <c r="G10" s="482">
        <f t="shared" si="0"/>
        <v>0.32590000000000002</v>
      </c>
    </row>
    <row r="11" spans="1:7" ht="18.75" x14ac:dyDescent="0.25">
      <c r="A11" s="19"/>
      <c r="B11" s="661" t="s">
        <v>719</v>
      </c>
      <c r="C11" s="19" t="s">
        <v>433</v>
      </c>
      <c r="D11" s="663">
        <f t="shared" si="1"/>
        <v>95</v>
      </c>
      <c r="F11" s="379">
        <v>72</v>
      </c>
      <c r="G11" s="482">
        <f t="shared" si="0"/>
        <v>0.32590000000000002</v>
      </c>
    </row>
    <row r="12" spans="1:7" ht="18.75" x14ac:dyDescent="0.25">
      <c r="A12" s="19">
        <v>6</v>
      </c>
      <c r="B12" s="63" t="s">
        <v>7</v>
      </c>
      <c r="C12" s="19" t="s">
        <v>12</v>
      </c>
      <c r="D12" s="379">
        <f t="shared" si="1"/>
        <v>150</v>
      </c>
      <c r="F12" s="379">
        <v>115</v>
      </c>
      <c r="G12" s="482">
        <f t="shared" si="0"/>
        <v>0.32590000000000002</v>
      </c>
    </row>
    <row r="13" spans="1:7" ht="18.75" x14ac:dyDescent="0.25">
      <c r="A13" s="19">
        <v>7</v>
      </c>
      <c r="B13" s="63" t="s">
        <v>8</v>
      </c>
      <c r="C13" s="19" t="s">
        <v>12</v>
      </c>
      <c r="D13" s="379">
        <f t="shared" si="1"/>
        <v>225</v>
      </c>
      <c r="F13" s="379">
        <v>170</v>
      </c>
      <c r="G13" s="482">
        <f t="shared" si="0"/>
        <v>0.32590000000000002</v>
      </c>
    </row>
    <row r="14" spans="1:7" ht="18.75" x14ac:dyDescent="0.25">
      <c r="A14" s="19">
        <v>8</v>
      </c>
      <c r="B14" s="63" t="s">
        <v>9</v>
      </c>
      <c r="C14" s="19" t="s">
        <v>433</v>
      </c>
      <c r="D14" s="379">
        <f t="shared" si="1"/>
        <v>325</v>
      </c>
      <c r="F14" s="379">
        <v>245</v>
      </c>
      <c r="G14" s="482">
        <f t="shared" si="0"/>
        <v>0.32590000000000002</v>
      </c>
    </row>
    <row r="15" spans="1:7" ht="18.75" x14ac:dyDescent="0.25">
      <c r="A15" s="19">
        <v>9</v>
      </c>
      <c r="B15" s="660" t="s">
        <v>723</v>
      </c>
      <c r="C15" s="19" t="s">
        <v>433</v>
      </c>
      <c r="D15" s="662">
        <f t="shared" si="1"/>
        <v>125</v>
      </c>
      <c r="F15" s="29">
        <v>94</v>
      </c>
      <c r="G15" s="482">
        <f t="shared" si="0"/>
        <v>0.32590000000000002</v>
      </c>
    </row>
    <row r="16" spans="1:7" ht="30" x14ac:dyDescent="0.25">
      <c r="A16" s="19"/>
      <c r="B16" s="661" t="s">
        <v>722</v>
      </c>
      <c r="C16" s="19" t="s">
        <v>433</v>
      </c>
      <c r="D16" s="663">
        <f t="shared" si="1"/>
        <v>95</v>
      </c>
      <c r="F16" s="29">
        <v>71</v>
      </c>
      <c r="G16" s="482">
        <f t="shared" si="0"/>
        <v>0.32590000000000002</v>
      </c>
    </row>
    <row r="17" spans="1:7" ht="18.75" x14ac:dyDescent="0.25">
      <c r="A17" s="19">
        <v>10</v>
      </c>
      <c r="B17" s="660" t="s">
        <v>725</v>
      </c>
      <c r="C17" s="19" t="s">
        <v>433</v>
      </c>
      <c r="D17" s="662">
        <f>MROUND((F17+F17*G17),5)</f>
        <v>130</v>
      </c>
      <c r="F17" s="29">
        <v>98</v>
      </c>
      <c r="G17" s="482">
        <f t="shared" si="0"/>
        <v>0.32590000000000002</v>
      </c>
    </row>
    <row r="18" spans="1:7" ht="18.75" x14ac:dyDescent="0.25">
      <c r="A18" s="19"/>
      <c r="B18" s="661" t="s">
        <v>724</v>
      </c>
      <c r="C18" s="19" t="s">
        <v>433</v>
      </c>
      <c r="D18" s="663">
        <f>MROUND((F18+F18*G18),5)</f>
        <v>100</v>
      </c>
      <c r="F18" s="29">
        <v>74</v>
      </c>
      <c r="G18" s="482">
        <f t="shared" si="0"/>
        <v>0.32590000000000002</v>
      </c>
    </row>
    <row r="19" spans="1:7" ht="30" x14ac:dyDescent="0.25">
      <c r="A19" s="19">
        <v>11</v>
      </c>
      <c r="B19" s="660" t="s">
        <v>727</v>
      </c>
      <c r="C19" s="19" t="s">
        <v>433</v>
      </c>
      <c r="D19" s="662">
        <f>MROUND((F19+F19*G19),5)</f>
        <v>135</v>
      </c>
      <c r="F19" s="29">
        <v>102</v>
      </c>
      <c r="G19" s="482">
        <f t="shared" si="0"/>
        <v>0.32590000000000002</v>
      </c>
    </row>
    <row r="20" spans="1:7" ht="30" x14ac:dyDescent="0.25">
      <c r="A20" s="19"/>
      <c r="B20" s="661" t="s">
        <v>726</v>
      </c>
      <c r="C20" s="19" t="s">
        <v>433</v>
      </c>
      <c r="D20" s="663">
        <f t="shared" si="1"/>
        <v>100</v>
      </c>
      <c r="F20" s="29">
        <v>77</v>
      </c>
      <c r="G20" s="482">
        <f t="shared" si="0"/>
        <v>0.32590000000000002</v>
      </c>
    </row>
    <row r="21" spans="1:7" ht="18.75" x14ac:dyDescent="0.25">
      <c r="A21" s="19">
        <v>12</v>
      </c>
      <c r="B21" s="393" t="s">
        <v>10</v>
      </c>
      <c r="C21" s="19" t="s">
        <v>703</v>
      </c>
      <c r="D21" s="659">
        <v>1.25</v>
      </c>
      <c r="F21" s="380"/>
      <c r="G21" s="482">
        <f t="shared" si="0"/>
        <v>0.32590000000000002</v>
      </c>
    </row>
    <row r="22" spans="1:7" ht="18.75" x14ac:dyDescent="0.25">
      <c r="A22" s="19">
        <v>13</v>
      </c>
      <c r="B22" s="393" t="s">
        <v>11</v>
      </c>
      <c r="C22" s="19" t="s">
        <v>703</v>
      </c>
      <c r="D22" s="659">
        <v>1.45</v>
      </c>
      <c r="F22" s="380"/>
      <c r="G22" s="482">
        <f t="shared" si="0"/>
        <v>0.32590000000000002</v>
      </c>
    </row>
    <row r="23" spans="1:7" ht="30" x14ac:dyDescent="0.25">
      <c r="A23" s="19">
        <v>14</v>
      </c>
      <c r="B23" s="393" t="s">
        <v>505</v>
      </c>
      <c r="C23" s="19" t="s">
        <v>703</v>
      </c>
      <c r="D23" s="659">
        <v>1.75</v>
      </c>
      <c r="F23" s="380"/>
      <c r="G23" s="482">
        <f t="shared" si="0"/>
        <v>0.32590000000000002</v>
      </c>
    </row>
    <row r="24" spans="1:7" ht="18.75" x14ac:dyDescent="0.25">
      <c r="A24" s="818"/>
      <c r="B24" s="394"/>
      <c r="C24" s="387"/>
      <c r="D24" s="395"/>
    </row>
    <row r="25" spans="1:7" ht="18.75" customHeight="1" x14ac:dyDescent="0.25">
      <c r="A25" s="818"/>
      <c r="B25" s="855" t="s">
        <v>668</v>
      </c>
      <c r="C25" s="855"/>
      <c r="D25" s="855"/>
    </row>
    <row r="26" spans="1:7" ht="18.75" x14ac:dyDescent="0.25">
      <c r="A26" s="818"/>
      <c r="B26" s="394"/>
      <c r="C26" s="599"/>
      <c r="D26" s="395"/>
    </row>
  </sheetData>
  <mergeCells count="2">
    <mergeCell ref="A2:D2"/>
    <mergeCell ref="B25:D25"/>
  </mergeCells>
  <hyperlinks>
    <hyperlink ref="E2" location="СОДЕРЖАНИЕ!A1" display="назад к содержанию" xr:uid="{00000000-0004-0000-0100-000000000000}"/>
    <hyperlink ref="E3" location="Спасибо!A3" display="Спасибо!" xr:uid="{F2E92BCF-E2F6-C74B-B0F9-E33141909297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B39" sqref="B39"/>
    </sheetView>
  </sheetViews>
  <sheetFormatPr defaultRowHeight="15" x14ac:dyDescent="0.25"/>
  <cols>
    <col min="1" max="1" width="3.85546875" bestFit="1" customWidth="1"/>
    <col min="2" max="2" width="53.28515625" bestFit="1" customWidth="1"/>
    <col min="3" max="3" width="7.7109375" bestFit="1" customWidth="1"/>
    <col min="4" max="4" width="10.5703125" bestFit="1" customWidth="1"/>
    <col min="5" max="5" width="12.7109375" bestFit="1" customWidth="1"/>
    <col min="8" max="9" width="0" hidden="1" customWidth="1"/>
  </cols>
  <sheetData>
    <row r="1" spans="1:9" ht="15.75" thickBot="1" x14ac:dyDescent="0.3">
      <c r="B1" s="756" t="str">
        <f>'1.1 Фасадные работы'!B1</f>
        <v>Актуально на 01 апреля 2022</v>
      </c>
    </row>
    <row r="2" spans="1:9" ht="30.75" thickBot="1" x14ac:dyDescent="0.3">
      <c r="A2" s="856" t="s">
        <v>14</v>
      </c>
      <c r="B2" s="856"/>
      <c r="C2" s="856"/>
      <c r="D2" s="857"/>
      <c r="E2" s="236" t="s">
        <v>302</v>
      </c>
      <c r="G2" s="579" t="s">
        <v>622</v>
      </c>
      <c r="I2" t="s">
        <v>544</v>
      </c>
    </row>
    <row r="3" spans="1:9" ht="30" x14ac:dyDescent="0.25">
      <c r="A3" s="3" t="s">
        <v>1</v>
      </c>
      <c r="B3" s="4" t="s">
        <v>2</v>
      </c>
      <c r="C3" s="3" t="s">
        <v>3</v>
      </c>
      <c r="D3" s="3" t="s">
        <v>4</v>
      </c>
      <c r="E3" s="397" t="s">
        <v>507</v>
      </c>
      <c r="F3" s="396" t="s">
        <v>508</v>
      </c>
      <c r="G3" s="18"/>
    </row>
    <row r="4" spans="1:9" ht="18.75" x14ac:dyDescent="0.3">
      <c r="A4" s="377">
        <v>1</v>
      </c>
      <c r="B4" s="16" t="s">
        <v>254</v>
      </c>
      <c r="C4" s="9" t="s">
        <v>12</v>
      </c>
      <c r="D4" s="6">
        <f>MROUND((H4+H4*I4),100)</f>
        <v>1600</v>
      </c>
      <c r="E4" s="400"/>
      <c r="F4" s="399">
        <f>D4*E4</f>
        <v>0</v>
      </c>
      <c r="H4" s="6">
        <v>1200</v>
      </c>
      <c r="I4" s="482">
        <f>инфляция!A2</f>
        <v>0.32590000000000002</v>
      </c>
    </row>
    <row r="5" spans="1:9" ht="18.75" x14ac:dyDescent="0.3">
      <c r="A5" s="377">
        <v>2</v>
      </c>
      <c r="B5" s="16" t="s">
        <v>15</v>
      </c>
      <c r="C5" s="9" t="s">
        <v>12</v>
      </c>
      <c r="D5" s="6">
        <f>MROUND((H5+H5*I5),10)</f>
        <v>400</v>
      </c>
      <c r="E5" s="400"/>
      <c r="F5" s="399">
        <f t="shared" ref="F5:F14" si="0">D5*E5</f>
        <v>0</v>
      </c>
      <c r="H5" s="6">
        <v>305</v>
      </c>
      <c r="I5" s="482">
        <f>I4</f>
        <v>0.32590000000000002</v>
      </c>
    </row>
    <row r="6" spans="1:9" ht="30.75" x14ac:dyDescent="0.3">
      <c r="A6" s="377">
        <v>3</v>
      </c>
      <c r="B6" s="16" t="s">
        <v>16</v>
      </c>
      <c r="C6" s="9" t="s">
        <v>12</v>
      </c>
      <c r="D6" s="6">
        <f t="shared" ref="D6:D14" si="1">MROUND((H6+H6*I6),5)</f>
        <v>75</v>
      </c>
      <c r="E6" s="400"/>
      <c r="F6" s="399">
        <f t="shared" si="0"/>
        <v>0</v>
      </c>
      <c r="H6" s="6">
        <v>55</v>
      </c>
      <c r="I6" s="482">
        <f t="shared" ref="I6:I14" si="2">I5</f>
        <v>0.32590000000000002</v>
      </c>
    </row>
    <row r="7" spans="1:9" ht="18.75" x14ac:dyDescent="0.3">
      <c r="A7" s="377">
        <v>4</v>
      </c>
      <c r="B7" s="16" t="s">
        <v>17</v>
      </c>
      <c r="C7" s="9" t="s">
        <v>12</v>
      </c>
      <c r="D7" s="6">
        <f t="shared" si="1"/>
        <v>115</v>
      </c>
      <c r="E7" s="400"/>
      <c r="F7" s="399">
        <f t="shared" si="0"/>
        <v>0</v>
      </c>
      <c r="H7" s="6">
        <v>85</v>
      </c>
      <c r="I7" s="482">
        <f t="shared" si="2"/>
        <v>0.32590000000000002</v>
      </c>
    </row>
    <row r="8" spans="1:9" ht="18.75" x14ac:dyDescent="0.3">
      <c r="A8" s="377">
        <v>5</v>
      </c>
      <c r="B8" s="16" t="s">
        <v>808</v>
      </c>
      <c r="C8" s="9" t="s">
        <v>12</v>
      </c>
      <c r="D8" s="6">
        <f t="shared" si="1"/>
        <v>60</v>
      </c>
      <c r="E8" s="400"/>
      <c r="F8" s="399">
        <f t="shared" si="0"/>
        <v>0</v>
      </c>
      <c r="H8" s="6">
        <v>45</v>
      </c>
      <c r="I8" s="482">
        <f t="shared" si="2"/>
        <v>0.32590000000000002</v>
      </c>
    </row>
    <row r="9" spans="1:9" ht="30.75" x14ac:dyDescent="0.3">
      <c r="A9" s="377">
        <v>6</v>
      </c>
      <c r="B9" s="16" t="s">
        <v>809</v>
      </c>
      <c r="C9" s="9" t="s">
        <v>12</v>
      </c>
      <c r="D9" s="6">
        <f t="shared" si="1"/>
        <v>145</v>
      </c>
      <c r="E9" s="400"/>
      <c r="F9" s="399">
        <f t="shared" si="0"/>
        <v>0</v>
      </c>
      <c r="H9" s="6">
        <v>110</v>
      </c>
      <c r="I9" s="482">
        <f t="shared" si="2"/>
        <v>0.32590000000000002</v>
      </c>
    </row>
    <row r="10" spans="1:9" ht="18.75" x14ac:dyDescent="0.3">
      <c r="A10" s="377">
        <v>7</v>
      </c>
      <c r="B10" s="16" t="s">
        <v>18</v>
      </c>
      <c r="C10" s="9" t="s">
        <v>12</v>
      </c>
      <c r="D10" s="6">
        <f t="shared" si="1"/>
        <v>230</v>
      </c>
      <c r="E10" s="400"/>
      <c r="F10" s="399">
        <f t="shared" si="0"/>
        <v>0</v>
      </c>
      <c r="H10" s="6">
        <v>175</v>
      </c>
      <c r="I10" s="482">
        <f t="shared" si="2"/>
        <v>0.32590000000000002</v>
      </c>
    </row>
    <row r="11" spans="1:9" ht="18.75" x14ac:dyDescent="0.3">
      <c r="A11" s="377">
        <v>8</v>
      </c>
      <c r="B11" s="16" t="s">
        <v>19</v>
      </c>
      <c r="C11" s="9" t="s">
        <v>12</v>
      </c>
      <c r="D11" s="6">
        <f t="shared" si="1"/>
        <v>125</v>
      </c>
      <c r="E11" s="400"/>
      <c r="F11" s="399">
        <f t="shared" si="0"/>
        <v>0</v>
      </c>
      <c r="H11" s="6">
        <v>95</v>
      </c>
      <c r="I11" s="482">
        <f t="shared" si="2"/>
        <v>0.32590000000000002</v>
      </c>
    </row>
    <row r="12" spans="1:9" ht="18.75" x14ac:dyDescent="0.3">
      <c r="A12" s="377">
        <v>9</v>
      </c>
      <c r="B12" s="16" t="s">
        <v>20</v>
      </c>
      <c r="C12" s="9" t="s">
        <v>12</v>
      </c>
      <c r="D12" s="6">
        <f t="shared" si="1"/>
        <v>60</v>
      </c>
      <c r="E12" s="400"/>
      <c r="F12" s="399">
        <f t="shared" si="0"/>
        <v>0</v>
      </c>
      <c r="H12" s="6">
        <v>45</v>
      </c>
      <c r="I12" s="482">
        <f t="shared" si="2"/>
        <v>0.32590000000000002</v>
      </c>
    </row>
    <row r="13" spans="1:9" ht="18.75" x14ac:dyDescent="0.3">
      <c r="A13" s="377">
        <v>10</v>
      </c>
      <c r="B13" s="17" t="s">
        <v>810</v>
      </c>
      <c r="C13" s="9" t="s">
        <v>12</v>
      </c>
      <c r="D13" s="6">
        <f t="shared" si="1"/>
        <v>75</v>
      </c>
      <c r="E13" s="400"/>
      <c r="F13" s="399">
        <f t="shared" si="0"/>
        <v>0</v>
      </c>
      <c r="H13" s="6">
        <v>55</v>
      </c>
      <c r="I13" s="482">
        <f t="shared" si="2"/>
        <v>0.32590000000000002</v>
      </c>
    </row>
    <row r="14" spans="1:9" ht="18.75" x14ac:dyDescent="0.3">
      <c r="A14" s="377">
        <v>11</v>
      </c>
      <c r="B14" s="17" t="s">
        <v>811</v>
      </c>
      <c r="C14" s="9" t="s">
        <v>12</v>
      </c>
      <c r="D14" s="6">
        <f t="shared" si="1"/>
        <v>120</v>
      </c>
      <c r="E14" s="400"/>
      <c r="F14" s="399">
        <f t="shared" si="0"/>
        <v>0</v>
      </c>
      <c r="H14" s="6">
        <v>90</v>
      </c>
      <c r="I14" s="482">
        <f t="shared" si="2"/>
        <v>0.32590000000000002</v>
      </c>
    </row>
    <row r="15" spans="1:9" x14ac:dyDescent="0.25">
      <c r="F15" s="405">
        <f>SUM(F4:F14)</f>
        <v>0</v>
      </c>
    </row>
    <row r="16" spans="1:9" x14ac:dyDescent="0.25">
      <c r="A16" s="858" t="s">
        <v>668</v>
      </c>
      <c r="B16" s="858"/>
      <c r="C16" s="858"/>
      <c r="D16" s="858"/>
    </row>
  </sheetData>
  <mergeCells count="2">
    <mergeCell ref="A2:D2"/>
    <mergeCell ref="A16:D16"/>
  </mergeCells>
  <hyperlinks>
    <hyperlink ref="E2" location="СОДЕРЖАНИЕ!A1" display="назад к содержанию" xr:uid="{00000000-0004-0000-0200-000000000000}"/>
    <hyperlink ref="G2" location="Спасибо!A3" display="Спасибо!" xr:uid="{ABBE3F38-150B-E347-BBC7-193621592C2A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workbookViewId="0">
      <selection activeCell="B33" sqref="B33"/>
    </sheetView>
  </sheetViews>
  <sheetFormatPr defaultRowHeight="15" x14ac:dyDescent="0.25"/>
  <cols>
    <col min="1" max="1" width="3.85546875" bestFit="1" customWidth="1"/>
    <col min="2" max="2" width="53.28515625" bestFit="1" customWidth="1"/>
    <col min="3" max="3" width="7.7109375" bestFit="1" customWidth="1"/>
    <col min="4" max="4" width="10.5703125" bestFit="1" customWidth="1"/>
    <col min="5" max="5" width="13" customWidth="1"/>
    <col min="7" max="8" width="8.5703125" hidden="1" customWidth="1"/>
  </cols>
  <sheetData>
    <row r="1" spans="1:9" ht="15.75" thickBot="1" x14ac:dyDescent="0.3">
      <c r="B1" s="756" t="str">
        <f>'1.2 Русты'!B1</f>
        <v>Актуально на 01 апреля 2022</v>
      </c>
    </row>
    <row r="2" spans="1:9" ht="30.75" thickBot="1" x14ac:dyDescent="0.3">
      <c r="A2" s="856" t="s">
        <v>817</v>
      </c>
      <c r="B2" s="856"/>
      <c r="C2" s="856"/>
      <c r="D2" s="857"/>
      <c r="E2" s="271" t="s">
        <v>302</v>
      </c>
      <c r="H2" t="s">
        <v>544</v>
      </c>
      <c r="I2" s="579" t="s">
        <v>622</v>
      </c>
    </row>
    <row r="3" spans="1:9" ht="30" x14ac:dyDescent="0.25">
      <c r="A3" s="3" t="s">
        <v>1</v>
      </c>
      <c r="B3" s="62" t="s">
        <v>2</v>
      </c>
      <c r="C3" s="62" t="s">
        <v>3</v>
      </c>
      <c r="D3" s="62" t="s">
        <v>4</v>
      </c>
      <c r="E3" s="398" t="s">
        <v>507</v>
      </c>
      <c r="F3" s="9" t="s">
        <v>448</v>
      </c>
      <c r="I3" s="18"/>
    </row>
    <row r="4" spans="1:9" ht="18.75" x14ac:dyDescent="0.3">
      <c r="A4" s="19">
        <v>1</v>
      </c>
      <c r="B4" s="2" t="s">
        <v>21</v>
      </c>
      <c r="C4" s="1" t="s">
        <v>12</v>
      </c>
      <c r="D4" s="6">
        <f>MROUND((G4+G4*H4),5)</f>
        <v>200</v>
      </c>
      <c r="E4" s="402"/>
      <c r="F4" s="401">
        <f>D4*E4</f>
        <v>0</v>
      </c>
      <c r="G4" s="6">
        <v>150</v>
      </c>
      <c r="H4" s="482">
        <f>инфляция!A2</f>
        <v>0.32590000000000002</v>
      </c>
    </row>
    <row r="5" spans="1:9" ht="18.75" x14ac:dyDescent="0.3">
      <c r="A5" s="713">
        <v>2</v>
      </c>
      <c r="B5" s="714" t="s">
        <v>22</v>
      </c>
      <c r="C5" s="1" t="s">
        <v>433</v>
      </c>
      <c r="D5" s="6">
        <f t="shared" ref="D5:D18" si="0">MROUND((G5+G5*H5),5)</f>
        <v>400</v>
      </c>
      <c r="E5" s="402"/>
      <c r="F5" s="401">
        <f t="shared" ref="F5:F18" si="1">D5*E5</f>
        <v>0</v>
      </c>
      <c r="G5" s="6">
        <v>300</v>
      </c>
      <c r="H5" s="482">
        <f>H4</f>
        <v>0.32590000000000002</v>
      </c>
    </row>
    <row r="6" spans="1:9" ht="18.75" x14ac:dyDescent="0.3">
      <c r="A6" s="713">
        <v>3</v>
      </c>
      <c r="B6" s="714" t="s">
        <v>23</v>
      </c>
      <c r="C6" s="1" t="s">
        <v>433</v>
      </c>
      <c r="D6" s="6">
        <f t="shared" si="0"/>
        <v>465</v>
      </c>
      <c r="E6" s="402"/>
      <c r="F6" s="401">
        <f t="shared" si="1"/>
        <v>0</v>
      </c>
      <c r="G6" s="6">
        <v>350</v>
      </c>
      <c r="H6" s="482">
        <f t="shared" ref="H6:H15" si="2">H5</f>
        <v>0.32590000000000002</v>
      </c>
    </row>
    <row r="7" spans="1:9" s="18" customFormat="1" ht="30.75" x14ac:dyDescent="0.3">
      <c r="A7" s="698">
        <v>4</v>
      </c>
      <c r="B7" s="16" t="s">
        <v>766</v>
      </c>
      <c r="C7" s="708" t="s">
        <v>433</v>
      </c>
      <c r="D7" s="709">
        <f t="shared" si="0"/>
        <v>225</v>
      </c>
      <c r="E7" s="406"/>
      <c r="F7" s="269">
        <f t="shared" si="1"/>
        <v>0</v>
      </c>
      <c r="G7" s="709">
        <v>170</v>
      </c>
      <c r="H7" s="710">
        <f t="shared" si="2"/>
        <v>0.32590000000000002</v>
      </c>
    </row>
    <row r="8" spans="1:9" s="18" customFormat="1" ht="30.75" x14ac:dyDescent="0.3">
      <c r="A8" s="698">
        <v>5</v>
      </c>
      <c r="B8" s="16" t="s">
        <v>767</v>
      </c>
      <c r="C8" s="708" t="s">
        <v>433</v>
      </c>
      <c r="D8" s="709">
        <f t="shared" si="0"/>
        <v>265</v>
      </c>
      <c r="E8" s="406"/>
      <c r="F8" s="269">
        <f t="shared" si="1"/>
        <v>0</v>
      </c>
      <c r="G8" s="709">
        <v>200</v>
      </c>
      <c r="H8" s="710">
        <f t="shared" si="2"/>
        <v>0.32590000000000002</v>
      </c>
    </row>
    <row r="9" spans="1:9" s="18" customFormat="1" ht="30.75" x14ac:dyDescent="0.3">
      <c r="A9" s="712">
        <v>6</v>
      </c>
      <c r="B9" s="34" t="s">
        <v>768</v>
      </c>
      <c r="C9" s="708" t="s">
        <v>433</v>
      </c>
      <c r="D9" s="709">
        <f t="shared" si="0"/>
        <v>330</v>
      </c>
      <c r="E9" s="406"/>
      <c r="F9" s="269">
        <f t="shared" si="1"/>
        <v>0</v>
      </c>
      <c r="G9" s="709">
        <v>250</v>
      </c>
      <c r="H9" s="710">
        <f t="shared" si="2"/>
        <v>0.32590000000000002</v>
      </c>
    </row>
    <row r="10" spans="1:9" s="18" customFormat="1" ht="45.75" x14ac:dyDescent="0.3">
      <c r="A10" s="711">
        <v>7</v>
      </c>
      <c r="B10" s="180" t="s">
        <v>765</v>
      </c>
      <c r="C10" s="708" t="s">
        <v>433</v>
      </c>
      <c r="D10" s="709">
        <f t="shared" si="0"/>
        <v>315</v>
      </c>
      <c r="E10" s="406"/>
      <c r="F10" s="269">
        <f t="shared" si="1"/>
        <v>0</v>
      </c>
      <c r="G10" s="709">
        <v>238</v>
      </c>
      <c r="H10" s="710">
        <f t="shared" si="2"/>
        <v>0.32590000000000002</v>
      </c>
    </row>
    <row r="11" spans="1:9" s="18" customFormat="1" ht="45.75" x14ac:dyDescent="0.3">
      <c r="A11" s="711">
        <v>8</v>
      </c>
      <c r="B11" s="180" t="s">
        <v>764</v>
      </c>
      <c r="C11" s="708" t="s">
        <v>433</v>
      </c>
      <c r="D11" s="709">
        <f t="shared" si="0"/>
        <v>630</v>
      </c>
      <c r="E11" s="406"/>
      <c r="F11" s="269">
        <f t="shared" si="1"/>
        <v>0</v>
      </c>
      <c r="G11" s="709">
        <v>476</v>
      </c>
      <c r="H11" s="710">
        <f t="shared" si="2"/>
        <v>0.32590000000000002</v>
      </c>
    </row>
    <row r="12" spans="1:9" ht="18.75" x14ac:dyDescent="0.3">
      <c r="A12" s="19">
        <v>9</v>
      </c>
      <c r="B12" s="2" t="s">
        <v>24</v>
      </c>
      <c r="C12" s="1" t="s">
        <v>433</v>
      </c>
      <c r="D12" s="6">
        <f t="shared" si="0"/>
        <v>370</v>
      </c>
      <c r="E12" s="402"/>
      <c r="F12" s="401">
        <f t="shared" si="1"/>
        <v>0</v>
      </c>
      <c r="G12" s="6">
        <v>280</v>
      </c>
      <c r="H12" s="482">
        <f>H9</f>
        <v>0.32590000000000002</v>
      </c>
    </row>
    <row r="13" spans="1:9" ht="18.75" x14ac:dyDescent="0.3">
      <c r="A13" s="19">
        <v>10</v>
      </c>
      <c r="B13" s="2" t="s">
        <v>498</v>
      </c>
      <c r="C13" s="1" t="s">
        <v>433</v>
      </c>
      <c r="D13" s="6">
        <f t="shared" si="0"/>
        <v>290</v>
      </c>
      <c r="E13" s="402"/>
      <c r="F13" s="401">
        <f t="shared" si="1"/>
        <v>0</v>
      </c>
      <c r="G13" s="6">
        <v>220</v>
      </c>
      <c r="H13" s="482">
        <f t="shared" si="2"/>
        <v>0.32590000000000002</v>
      </c>
    </row>
    <row r="14" spans="1:9" ht="18.75" x14ac:dyDescent="0.3">
      <c r="A14" s="19">
        <v>11</v>
      </c>
      <c r="B14" s="2" t="s">
        <v>25</v>
      </c>
      <c r="C14" s="1" t="s">
        <v>433</v>
      </c>
      <c r="D14" s="6">
        <f t="shared" si="0"/>
        <v>160</v>
      </c>
      <c r="E14" s="402"/>
      <c r="F14" s="401">
        <f t="shared" si="1"/>
        <v>0</v>
      </c>
      <c r="G14" s="6">
        <v>120</v>
      </c>
      <c r="H14" s="482">
        <f t="shared" si="2"/>
        <v>0.32590000000000002</v>
      </c>
    </row>
    <row r="15" spans="1:9" ht="18.75" x14ac:dyDescent="0.3">
      <c r="A15" s="19">
        <v>12</v>
      </c>
      <c r="B15" s="5" t="s">
        <v>26</v>
      </c>
      <c r="C15" s="1" t="s">
        <v>433</v>
      </c>
      <c r="D15" s="6">
        <f t="shared" si="0"/>
        <v>465</v>
      </c>
      <c r="E15" s="402"/>
      <c r="F15" s="401">
        <f t="shared" si="1"/>
        <v>0</v>
      </c>
      <c r="G15" s="6">
        <v>350</v>
      </c>
      <c r="H15" s="482">
        <f t="shared" si="2"/>
        <v>0.32590000000000002</v>
      </c>
    </row>
    <row r="16" spans="1:9" ht="18.75" x14ac:dyDescent="0.3">
      <c r="A16" s="19">
        <v>13</v>
      </c>
      <c r="B16" s="667" t="s">
        <v>27</v>
      </c>
      <c r="C16" s="668" t="s">
        <v>433</v>
      </c>
      <c r="D16" s="669">
        <f t="shared" si="0"/>
        <v>200</v>
      </c>
      <c r="E16" s="402"/>
      <c r="F16" s="401">
        <f t="shared" si="1"/>
        <v>0</v>
      </c>
      <c r="G16" s="6">
        <v>150</v>
      </c>
      <c r="H16" s="482">
        <f>H15</f>
        <v>0.32590000000000002</v>
      </c>
    </row>
    <row r="17" spans="1:8" ht="30.75" x14ac:dyDescent="0.3">
      <c r="A17" s="27">
        <v>14</v>
      </c>
      <c r="B17" s="715" t="s">
        <v>728</v>
      </c>
      <c r="C17" s="716" t="s">
        <v>703</v>
      </c>
      <c r="D17" s="717">
        <v>2</v>
      </c>
      <c r="E17" s="665"/>
      <c r="F17" s="401"/>
      <c r="G17" s="664"/>
      <c r="H17" s="482"/>
    </row>
    <row r="18" spans="1:8" ht="54" customHeight="1" x14ac:dyDescent="0.3">
      <c r="A18" s="718">
        <v>15</v>
      </c>
      <c r="B18" s="822" t="s">
        <v>769</v>
      </c>
      <c r="C18" s="821" t="s">
        <v>35</v>
      </c>
      <c r="D18" s="820">
        <f t="shared" si="0"/>
        <v>400</v>
      </c>
      <c r="E18" s="665"/>
      <c r="F18" s="401">
        <f t="shared" si="1"/>
        <v>0</v>
      </c>
      <c r="G18" s="664">
        <v>300</v>
      </c>
      <c r="H18" s="482">
        <f>H16</f>
        <v>0.32590000000000002</v>
      </c>
    </row>
    <row r="19" spans="1:8" x14ac:dyDescent="0.25">
      <c r="A19" s="20"/>
      <c r="F19" s="404">
        <f>SUM(F4:F18)</f>
        <v>0</v>
      </c>
    </row>
    <row r="20" spans="1:8" ht="31.5" x14ac:dyDescent="0.35">
      <c r="A20" s="28">
        <v>16</v>
      </c>
      <c r="B20" s="26" t="s">
        <v>850</v>
      </c>
      <c r="C20" s="7" t="s">
        <v>703</v>
      </c>
      <c r="D20" s="673">
        <v>0.5</v>
      </c>
      <c r="E20" s="403">
        <f>F19*0.5</f>
        <v>0</v>
      </c>
    </row>
    <row r="21" spans="1:8" x14ac:dyDescent="0.25">
      <c r="A21" s="20"/>
    </row>
    <row r="22" spans="1:8" ht="18.75" x14ac:dyDescent="0.3">
      <c r="A22" s="28">
        <v>17</v>
      </c>
      <c r="B22" s="7" t="s">
        <v>95</v>
      </c>
      <c r="C22" s="50" t="s">
        <v>555</v>
      </c>
      <c r="D22" s="485">
        <f>MROUND((G22+G22*H22),100)</f>
        <v>2000</v>
      </c>
      <c r="G22" s="485">
        <v>1500</v>
      </c>
      <c r="H22" s="482">
        <f>H16</f>
        <v>0.32590000000000002</v>
      </c>
    </row>
    <row r="23" spans="1:8" ht="18.75" x14ac:dyDescent="0.3">
      <c r="A23" s="657"/>
      <c r="B23" s="670"/>
      <c r="C23" s="227"/>
      <c r="D23" s="672"/>
      <c r="G23" s="671"/>
      <c r="H23" s="482"/>
    </row>
    <row r="24" spans="1:8" ht="40.5" customHeight="1" x14ac:dyDescent="0.3">
      <c r="A24" s="859" t="s">
        <v>729</v>
      </c>
      <c r="B24" s="860"/>
      <c r="C24" s="860"/>
      <c r="D24" s="861"/>
      <c r="G24" s="671"/>
      <c r="H24" s="482"/>
    </row>
    <row r="26" spans="1:8" ht="24" customHeight="1" x14ac:dyDescent="0.25">
      <c r="A26" s="858" t="s">
        <v>668</v>
      </c>
      <c r="B26" s="858"/>
      <c r="C26" s="858"/>
      <c r="D26" s="858"/>
    </row>
  </sheetData>
  <mergeCells count="3">
    <mergeCell ref="A2:D2"/>
    <mergeCell ref="A26:D26"/>
    <mergeCell ref="A24:D24"/>
  </mergeCells>
  <phoneticPr fontId="17" alignment="center"/>
  <hyperlinks>
    <hyperlink ref="E2" location="СОДЕРЖАНИЕ!A1" display="назад к содержанию" xr:uid="{00000000-0004-0000-0300-000000000000}"/>
    <hyperlink ref="I2" location="Спасибо!A3" display="Спасибо!" xr:uid="{5C184EB2-7E84-7449-B673-08DF1F6FCA24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tabSelected="1" workbookViewId="0">
      <selection activeCell="B27" sqref="B27"/>
    </sheetView>
  </sheetViews>
  <sheetFormatPr defaultRowHeight="15" x14ac:dyDescent="0.25"/>
  <cols>
    <col min="1" max="1" width="3.85546875" bestFit="1" customWidth="1"/>
    <col min="2" max="2" width="53.28515625" bestFit="1" customWidth="1"/>
    <col min="3" max="3" width="7.7109375" bestFit="1" customWidth="1"/>
    <col min="4" max="4" width="10.5703125" bestFit="1" customWidth="1"/>
    <col min="5" max="5" width="12.5703125" customWidth="1"/>
    <col min="7" max="8" width="8.5703125" hidden="1" customWidth="1"/>
  </cols>
  <sheetData>
    <row r="1" spans="1:9" ht="15.75" thickBot="1" x14ac:dyDescent="0.3">
      <c r="B1" s="756" t="str">
        <f>'1.3 Мокрый фасад'!B1</f>
        <v>Актуально на 01 апреля 2022</v>
      </c>
    </row>
    <row r="2" spans="1:9" ht="45.75" thickBot="1" x14ac:dyDescent="0.3">
      <c r="A2" s="856" t="s">
        <v>36</v>
      </c>
      <c r="B2" s="856"/>
      <c r="C2" s="856"/>
      <c r="D2" s="857"/>
      <c r="E2" s="271" t="s">
        <v>302</v>
      </c>
      <c r="H2" t="s">
        <v>544</v>
      </c>
      <c r="I2" s="579" t="s">
        <v>622</v>
      </c>
    </row>
    <row r="3" spans="1:9" ht="30" x14ac:dyDescent="0.25">
      <c r="A3" s="3" t="s">
        <v>1</v>
      </c>
      <c r="B3" s="62" t="s">
        <v>2</v>
      </c>
      <c r="C3" s="62" t="s">
        <v>3</v>
      </c>
      <c r="D3" s="62" t="s">
        <v>4</v>
      </c>
      <c r="E3" s="398" t="s">
        <v>507</v>
      </c>
      <c r="F3" s="398" t="s">
        <v>448</v>
      </c>
      <c r="I3" s="18"/>
    </row>
    <row r="4" spans="1:9" ht="18.75" x14ac:dyDescent="0.3">
      <c r="A4" s="19">
        <v>1</v>
      </c>
      <c r="B4" s="16" t="s">
        <v>28</v>
      </c>
      <c r="C4" s="9" t="s">
        <v>433</v>
      </c>
      <c r="D4" s="6">
        <f>MROUND((G4+G4*H4),5)</f>
        <v>45</v>
      </c>
      <c r="E4" s="406"/>
      <c r="F4" s="269">
        <f>D4*E4</f>
        <v>0</v>
      </c>
      <c r="G4" s="6">
        <v>35</v>
      </c>
      <c r="H4" s="482">
        <f>инфляция!A2</f>
        <v>0.32590000000000002</v>
      </c>
    </row>
    <row r="5" spans="1:9" ht="30.75" x14ac:dyDescent="0.3">
      <c r="A5" s="19">
        <v>2</v>
      </c>
      <c r="B5" s="16" t="s">
        <v>29</v>
      </c>
      <c r="C5" s="9" t="s">
        <v>433</v>
      </c>
      <c r="D5" s="6">
        <f t="shared" ref="D5:D11" si="0">MROUND((G5+G5*H5),5)</f>
        <v>85</v>
      </c>
      <c r="E5" s="406"/>
      <c r="F5" s="269">
        <f t="shared" ref="F5:F12" si="1">D5*E5</f>
        <v>0</v>
      </c>
      <c r="G5" s="6">
        <v>65</v>
      </c>
      <c r="H5" s="482">
        <f>H4</f>
        <v>0.32590000000000002</v>
      </c>
    </row>
    <row r="6" spans="1:9" ht="18.75" x14ac:dyDescent="0.3">
      <c r="A6" s="19">
        <v>3</v>
      </c>
      <c r="B6" s="16" t="s">
        <v>30</v>
      </c>
      <c r="C6" s="9" t="s">
        <v>433</v>
      </c>
      <c r="D6" s="6">
        <f t="shared" si="0"/>
        <v>120</v>
      </c>
      <c r="E6" s="406"/>
      <c r="F6" s="269">
        <f t="shared" si="1"/>
        <v>0</v>
      </c>
      <c r="G6" s="6">
        <v>90</v>
      </c>
      <c r="H6" s="482">
        <f t="shared" ref="H6:H16" si="2">H5</f>
        <v>0.32590000000000002</v>
      </c>
    </row>
    <row r="7" spans="1:9" ht="18.75" x14ac:dyDescent="0.3">
      <c r="A7" s="19">
        <v>4</v>
      </c>
      <c r="B7" s="16" t="s">
        <v>31</v>
      </c>
      <c r="C7" s="9" t="s">
        <v>12</v>
      </c>
      <c r="D7" s="6">
        <f t="shared" si="0"/>
        <v>85</v>
      </c>
      <c r="E7" s="406"/>
      <c r="F7" s="269">
        <f t="shared" si="1"/>
        <v>0</v>
      </c>
      <c r="G7" s="6">
        <v>65</v>
      </c>
      <c r="H7" s="482">
        <f t="shared" si="2"/>
        <v>0.32590000000000002</v>
      </c>
    </row>
    <row r="8" spans="1:9" ht="18.75" x14ac:dyDescent="0.3">
      <c r="A8" s="19">
        <v>5</v>
      </c>
      <c r="B8" s="16" t="s">
        <v>32</v>
      </c>
      <c r="C8" s="9" t="s">
        <v>35</v>
      </c>
      <c r="D8" s="6">
        <f t="shared" si="0"/>
        <v>240</v>
      </c>
      <c r="E8" s="406"/>
      <c r="F8" s="269">
        <f t="shared" si="1"/>
        <v>0</v>
      </c>
      <c r="G8" s="6">
        <v>180</v>
      </c>
      <c r="H8" s="482">
        <f t="shared" si="2"/>
        <v>0.32590000000000002</v>
      </c>
    </row>
    <row r="9" spans="1:9" ht="18.75" x14ac:dyDescent="0.3">
      <c r="A9" s="19">
        <v>6</v>
      </c>
      <c r="B9" s="16" t="s">
        <v>33</v>
      </c>
      <c r="C9" s="9" t="s">
        <v>12</v>
      </c>
      <c r="D9" s="6">
        <f t="shared" si="0"/>
        <v>100</v>
      </c>
      <c r="E9" s="406"/>
      <c r="F9" s="269">
        <f t="shared" si="1"/>
        <v>0</v>
      </c>
      <c r="G9" s="6">
        <v>75</v>
      </c>
      <c r="H9" s="482">
        <f t="shared" si="2"/>
        <v>0.32590000000000002</v>
      </c>
    </row>
    <row r="10" spans="1:9" ht="18.75" x14ac:dyDescent="0.3">
      <c r="A10" s="827">
        <v>7</v>
      </c>
      <c r="B10" s="825" t="s">
        <v>34</v>
      </c>
      <c r="C10" s="9" t="s">
        <v>35</v>
      </c>
      <c r="D10" s="6">
        <f t="shared" si="0"/>
        <v>330</v>
      </c>
      <c r="E10" s="406"/>
      <c r="F10" s="269">
        <f t="shared" si="1"/>
        <v>0</v>
      </c>
      <c r="G10" s="6">
        <v>250</v>
      </c>
      <c r="H10" s="482">
        <f t="shared" si="2"/>
        <v>0.32590000000000002</v>
      </c>
    </row>
    <row r="11" spans="1:9" ht="45.75" x14ac:dyDescent="0.3">
      <c r="A11" s="828">
        <v>8</v>
      </c>
      <c r="B11" s="824" t="s">
        <v>851</v>
      </c>
      <c r="C11" s="604" t="s">
        <v>35</v>
      </c>
      <c r="D11" s="669">
        <f t="shared" si="0"/>
        <v>665</v>
      </c>
      <c r="E11" s="406"/>
      <c r="F11" s="269">
        <f t="shared" si="1"/>
        <v>0</v>
      </c>
      <c r="G11" s="6">
        <v>500</v>
      </c>
      <c r="H11" s="482">
        <f t="shared" si="2"/>
        <v>0.32590000000000002</v>
      </c>
    </row>
    <row r="12" spans="1:9" ht="18.75" x14ac:dyDescent="0.3">
      <c r="A12" s="28">
        <v>9</v>
      </c>
      <c r="B12" s="26" t="s">
        <v>855</v>
      </c>
      <c r="C12" s="819" t="s">
        <v>433</v>
      </c>
      <c r="D12" s="666">
        <f>MROUND((G12+G12*H12),5)</f>
        <v>165</v>
      </c>
      <c r="E12" s="406"/>
      <c r="F12" s="269">
        <f t="shared" si="1"/>
        <v>0</v>
      </c>
      <c r="G12" s="664">
        <v>125</v>
      </c>
      <c r="H12" s="482">
        <f t="shared" si="2"/>
        <v>0.32590000000000002</v>
      </c>
    </row>
    <row r="13" spans="1:9" x14ac:dyDescent="0.25">
      <c r="A13" s="20"/>
      <c r="C13" s="15"/>
      <c r="F13" s="404">
        <f>SUM(F4:F12)</f>
        <v>0</v>
      </c>
      <c r="H13" s="482">
        <f t="shared" si="2"/>
        <v>0.32590000000000002</v>
      </c>
    </row>
    <row r="14" spans="1:9" ht="75" x14ac:dyDescent="0.25">
      <c r="A14" s="826">
        <v>10</v>
      </c>
      <c r="B14" s="823" t="s">
        <v>852</v>
      </c>
      <c r="C14" s="68" t="s">
        <v>12</v>
      </c>
      <c r="D14" s="817">
        <f>MROUND((G14+G14*H14),100)</f>
        <v>2500</v>
      </c>
      <c r="F14" s="404"/>
      <c r="G14">
        <v>1900</v>
      </c>
      <c r="H14" s="482">
        <f t="shared" si="2"/>
        <v>0.32590000000000002</v>
      </c>
    </row>
    <row r="15" spans="1:9" ht="75" x14ac:dyDescent="0.25">
      <c r="A15" s="850">
        <v>11</v>
      </c>
      <c r="B15" s="851" t="s">
        <v>853</v>
      </c>
      <c r="C15" s="504" t="s">
        <v>12</v>
      </c>
      <c r="D15" s="852">
        <f>MROUND((G15+G15*H15),100)</f>
        <v>1500</v>
      </c>
      <c r="F15" s="404"/>
      <c r="G15">
        <v>1100</v>
      </c>
      <c r="H15" s="482">
        <f t="shared" si="2"/>
        <v>0.32590000000000002</v>
      </c>
    </row>
    <row r="16" spans="1:9" ht="60" x14ac:dyDescent="0.25">
      <c r="A16" s="260">
        <v>12</v>
      </c>
      <c r="B16" s="613" t="s">
        <v>867</v>
      </c>
      <c r="C16" s="843" t="s">
        <v>12</v>
      </c>
      <c r="D16" s="842">
        <f>MROUND((G16+G16*H16),100)</f>
        <v>800</v>
      </c>
      <c r="F16" s="404"/>
      <c r="G16">
        <v>600</v>
      </c>
      <c r="H16" s="482">
        <f t="shared" si="2"/>
        <v>0.32590000000000002</v>
      </c>
    </row>
    <row r="17" spans="1:6" x14ac:dyDescent="0.25">
      <c r="A17" s="20"/>
      <c r="B17" s="51"/>
      <c r="C17" s="15"/>
      <c r="D17" s="340"/>
      <c r="F17" s="404"/>
    </row>
    <row r="18" spans="1:6" x14ac:dyDescent="0.25">
      <c r="A18" s="826">
        <v>12</v>
      </c>
      <c r="B18" s="823" t="s">
        <v>854</v>
      </c>
      <c r="C18" s="68" t="s">
        <v>703</v>
      </c>
      <c r="D18" s="764">
        <v>0.6</v>
      </c>
      <c r="F18" s="404"/>
    </row>
    <row r="19" spans="1:6" x14ac:dyDescent="0.25">
      <c r="A19" s="20"/>
      <c r="B19" s="18"/>
      <c r="F19" s="404"/>
    </row>
    <row r="20" spans="1:6" ht="31.5" customHeight="1" x14ac:dyDescent="0.25">
      <c r="A20" s="858" t="s">
        <v>668</v>
      </c>
      <c r="B20" s="858"/>
      <c r="C20" s="858"/>
      <c r="D20" s="858"/>
    </row>
  </sheetData>
  <mergeCells count="2">
    <mergeCell ref="A2:D2"/>
    <mergeCell ref="A20:D20"/>
  </mergeCells>
  <hyperlinks>
    <hyperlink ref="E2" location="СОДЕРЖАНИЕ!A1" display="назад к содержанию" xr:uid="{00000000-0004-0000-0400-000000000000}"/>
    <hyperlink ref="I2" location="Спасибо!A3" display="Спасибо!" xr:uid="{242BCC7C-0006-C549-BA81-514FB5D92BB7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activeCell="D31" sqref="D31"/>
    </sheetView>
  </sheetViews>
  <sheetFormatPr defaultRowHeight="15" x14ac:dyDescent="0.25"/>
  <cols>
    <col min="1" max="1" width="3.85546875" bestFit="1" customWidth="1"/>
    <col min="2" max="2" width="35" customWidth="1"/>
    <col min="3" max="3" width="7.7109375" bestFit="1" customWidth="1"/>
    <col min="4" max="4" width="12.140625" bestFit="1" customWidth="1"/>
    <col min="5" max="5" width="8.7109375" bestFit="1" customWidth="1"/>
    <col min="6" max="6" width="11.7109375" bestFit="1" customWidth="1"/>
    <col min="8" max="11" width="0" hidden="1" customWidth="1"/>
  </cols>
  <sheetData>
    <row r="1" spans="1:11" ht="15.75" thickBot="1" x14ac:dyDescent="0.3">
      <c r="B1" s="756" t="str">
        <f>'1.4 ПОДГОТОВКА'!B1</f>
        <v>Актуально на 01 апреля 2022</v>
      </c>
    </row>
    <row r="2" spans="1:11" ht="45.75" thickBot="1" x14ac:dyDescent="0.3">
      <c r="A2" s="856" t="s">
        <v>40</v>
      </c>
      <c r="B2" s="856"/>
      <c r="C2" s="856"/>
      <c r="D2" s="236" t="s">
        <v>302</v>
      </c>
      <c r="G2" s="579" t="s">
        <v>622</v>
      </c>
      <c r="K2" t="s">
        <v>544</v>
      </c>
    </row>
    <row r="3" spans="1:11" x14ac:dyDescent="0.25">
      <c r="A3" s="3" t="s">
        <v>1</v>
      </c>
      <c r="B3" s="8" t="s">
        <v>2</v>
      </c>
      <c r="C3" s="3" t="s">
        <v>3</v>
      </c>
      <c r="G3" s="18"/>
    </row>
    <row r="4" spans="1:11" ht="14.45" customHeight="1" x14ac:dyDescent="0.25">
      <c r="A4" s="863"/>
      <c r="B4" s="863"/>
      <c r="C4" s="864"/>
      <c r="D4" s="417" t="s">
        <v>509</v>
      </c>
      <c r="E4" s="417" t="s">
        <v>510</v>
      </c>
      <c r="F4" s="417" t="s">
        <v>511</v>
      </c>
    </row>
    <row r="5" spans="1:11" ht="30" x14ac:dyDescent="0.25">
      <c r="A5" s="11">
        <v>1</v>
      </c>
      <c r="B5" s="412" t="s">
        <v>512</v>
      </c>
      <c r="C5" s="207" t="s">
        <v>433</v>
      </c>
      <c r="D5" s="416">
        <f>MROUND((H5+H5*K5),50)</f>
        <v>4400</v>
      </c>
      <c r="E5" s="416">
        <f>MROUND((I5+I5*K5),50)</f>
        <v>6500</v>
      </c>
      <c r="F5" s="416">
        <f>MROUND((J5+J5*K5),50)</f>
        <v>9000</v>
      </c>
      <c r="H5" s="478">
        <v>3300</v>
      </c>
      <c r="I5" s="478">
        <v>4900</v>
      </c>
      <c r="J5" s="478">
        <v>6800</v>
      </c>
      <c r="K5" s="482">
        <f>инфляция!A2</f>
        <v>0.32590000000000002</v>
      </c>
    </row>
    <row r="6" spans="1:11" ht="18.75" x14ac:dyDescent="0.25">
      <c r="A6" s="12">
        <v>2</v>
      </c>
      <c r="B6" s="413" t="s">
        <v>513</v>
      </c>
      <c r="C6" s="207" t="s">
        <v>433</v>
      </c>
      <c r="D6" s="509">
        <f t="shared" ref="D6:D7" si="0">MROUND((H6+H6*K6),50)</f>
        <v>2650</v>
      </c>
      <c r="E6" s="509">
        <f t="shared" ref="E6:E7" si="1">MROUND((I6+I6*K6),50)</f>
        <v>4000</v>
      </c>
      <c r="F6" s="509">
        <f t="shared" ref="F6:F7" si="2">MROUND((J6+J6*K6),50)</f>
        <v>5300</v>
      </c>
      <c r="H6" s="478">
        <v>2000</v>
      </c>
      <c r="I6" s="478">
        <v>3000</v>
      </c>
      <c r="J6" s="478">
        <v>4000</v>
      </c>
      <c r="K6" s="482">
        <f>K5</f>
        <v>0.32590000000000002</v>
      </c>
    </row>
    <row r="7" spans="1:11" ht="19.5" thickBot="1" x14ac:dyDescent="0.3">
      <c r="A7" s="13">
        <v>3</v>
      </c>
      <c r="B7" s="414" t="s">
        <v>514</v>
      </c>
      <c r="C7" s="207" t="s">
        <v>433</v>
      </c>
      <c r="D7" s="509">
        <f t="shared" si="0"/>
        <v>2250</v>
      </c>
      <c r="E7" s="509">
        <f t="shared" si="1"/>
        <v>3450</v>
      </c>
      <c r="F7" s="509">
        <f t="shared" si="2"/>
        <v>4750</v>
      </c>
      <c r="H7" s="478">
        <v>1700</v>
      </c>
      <c r="I7" s="478">
        <v>2600</v>
      </c>
      <c r="J7" s="478">
        <v>3600</v>
      </c>
      <c r="K7" s="482">
        <f t="shared" ref="K7:K9" si="3">K6</f>
        <v>0.32590000000000002</v>
      </c>
    </row>
    <row r="8" spans="1:11" ht="60.75" thickTop="1" x14ac:dyDescent="0.25">
      <c r="A8" s="14">
        <v>4</v>
      </c>
      <c r="B8" s="419" t="s">
        <v>37</v>
      </c>
      <c r="C8" s="418" t="s">
        <v>12</v>
      </c>
      <c r="D8" s="862">
        <f>MROUND((H8+H8*K8),10)</f>
        <v>530</v>
      </c>
      <c r="E8" s="862"/>
      <c r="F8" s="862"/>
      <c r="H8" s="862">
        <v>400</v>
      </c>
      <c r="I8" s="862"/>
      <c r="J8" s="862"/>
      <c r="K8" s="482">
        <f t="shared" si="3"/>
        <v>0.32590000000000002</v>
      </c>
    </row>
    <row r="9" spans="1:11" ht="30.75" thickBot="1" x14ac:dyDescent="0.3">
      <c r="A9" s="420">
        <v>5</v>
      </c>
      <c r="B9" s="421" t="s">
        <v>38</v>
      </c>
      <c r="C9" s="415" t="s">
        <v>39</v>
      </c>
      <c r="D9" s="862">
        <f>MROUND((H9+H9*K9),100)</f>
        <v>8600</v>
      </c>
      <c r="E9" s="862"/>
      <c r="F9" s="862"/>
      <c r="H9" s="862">
        <v>6500</v>
      </c>
      <c r="I9" s="862"/>
      <c r="J9" s="862"/>
      <c r="K9" s="482">
        <f t="shared" si="3"/>
        <v>0.32590000000000002</v>
      </c>
    </row>
    <row r="10" spans="1:11" ht="15.75" thickTop="1" x14ac:dyDescent="0.25"/>
    <row r="11" spans="1:11" x14ac:dyDescent="0.25">
      <c r="B11" s="829" t="s">
        <v>561</v>
      </c>
    </row>
    <row r="13" spans="1:11" x14ac:dyDescent="0.25">
      <c r="A13" s="858" t="s">
        <v>668</v>
      </c>
      <c r="B13" s="858"/>
      <c r="C13" s="858"/>
      <c r="D13" s="858"/>
      <c r="E13" s="858"/>
      <c r="F13" s="858"/>
    </row>
  </sheetData>
  <mergeCells count="7">
    <mergeCell ref="A2:C2"/>
    <mergeCell ref="D8:F8"/>
    <mergeCell ref="H8:J8"/>
    <mergeCell ref="H9:J9"/>
    <mergeCell ref="A13:F13"/>
    <mergeCell ref="D9:F9"/>
    <mergeCell ref="A4:C4"/>
  </mergeCells>
  <hyperlinks>
    <hyperlink ref="D2" location="СОДЕРЖАНИЕ!A1" display="назад к содержанию" xr:uid="{00000000-0004-0000-0500-000000000000}"/>
    <hyperlink ref="G2" location="Спасибо!A3" display="Спасибо!" xr:uid="{27E30C95-3438-0142-A4A5-48C172A55344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workbookViewId="0">
      <selection activeCell="I1" sqref="I1:N1048576"/>
    </sheetView>
  </sheetViews>
  <sheetFormatPr defaultRowHeight="15" x14ac:dyDescent="0.25"/>
  <cols>
    <col min="1" max="1" width="3.85546875" style="20" bestFit="1" customWidth="1"/>
    <col min="2" max="2" width="53.28515625" style="18" bestFit="1" customWidth="1"/>
    <col min="3" max="3" width="7.7109375" style="15" bestFit="1" customWidth="1"/>
    <col min="4" max="4" width="10.5703125" bestFit="1" customWidth="1"/>
    <col min="5" max="5" width="13.140625" customWidth="1"/>
    <col min="6" max="6" width="12.5703125" bestFit="1" customWidth="1"/>
    <col min="7" max="7" width="12.5703125" customWidth="1"/>
    <col min="9" max="14" width="8.5703125" hidden="1" customWidth="1"/>
  </cols>
  <sheetData>
    <row r="1" spans="1:14" x14ac:dyDescent="0.25">
      <c r="B1" s="755" t="str">
        <f>'1.5 СТЕКЛОПАКЕТЫ'!B1</f>
        <v>Актуально на 01 апреля 2022</v>
      </c>
    </row>
    <row r="2" spans="1:14" ht="45.75" thickBot="1" x14ac:dyDescent="0.3">
      <c r="A2" s="876" t="s">
        <v>41</v>
      </c>
      <c r="B2" s="877"/>
      <c r="C2" s="878"/>
      <c r="D2" s="878"/>
      <c r="E2" s="878"/>
      <c r="F2" s="878"/>
      <c r="G2" s="879"/>
      <c r="H2" s="381" t="s">
        <v>302</v>
      </c>
      <c r="I2" s="50"/>
      <c r="N2" t="s">
        <v>544</v>
      </c>
    </row>
    <row r="3" spans="1:14" ht="30.75" thickBot="1" x14ac:dyDescent="0.3">
      <c r="A3" s="375" t="s">
        <v>1</v>
      </c>
      <c r="B3" s="376" t="s">
        <v>2</v>
      </c>
      <c r="C3" s="375" t="s">
        <v>3</v>
      </c>
      <c r="D3" s="873" t="s">
        <v>502</v>
      </c>
      <c r="E3" s="874"/>
      <c r="F3" s="874"/>
      <c r="G3" s="875"/>
      <c r="H3" s="679" t="s">
        <v>622</v>
      </c>
    </row>
    <row r="4" spans="1:14" x14ac:dyDescent="0.25">
      <c r="A4" s="375"/>
      <c r="B4" s="376"/>
      <c r="C4" s="375"/>
      <c r="D4" s="407" t="s">
        <v>499</v>
      </c>
      <c r="E4" s="302" t="s">
        <v>731</v>
      </c>
      <c r="F4" s="677" t="s">
        <v>730</v>
      </c>
      <c r="G4" s="302" t="s">
        <v>732</v>
      </c>
      <c r="H4" s="18"/>
    </row>
    <row r="5" spans="1:14" ht="18.75" customHeight="1" x14ac:dyDescent="0.25">
      <c r="A5" s="880" t="s">
        <v>42</v>
      </c>
      <c r="B5" s="881"/>
      <c r="C5" s="881"/>
      <c r="D5" s="881"/>
      <c r="E5" s="881"/>
      <c r="F5" s="881"/>
      <c r="G5" s="882"/>
    </row>
    <row r="6" spans="1:14" ht="18.75" x14ac:dyDescent="0.25">
      <c r="A6" s="385">
        <v>1</v>
      </c>
      <c r="B6" s="408" t="s">
        <v>500</v>
      </c>
      <c r="C6" s="409" t="s">
        <v>433</v>
      </c>
      <c r="D6" s="410">
        <f>MROUND((J6+J6*N6),5)</f>
        <v>280</v>
      </c>
      <c r="E6" s="411">
        <f>MROUND((K6+K6*N6),5)</f>
        <v>250</v>
      </c>
      <c r="F6" s="678">
        <f>MROUND((L6+L6*N6),5)</f>
        <v>210</v>
      </c>
      <c r="G6" s="411">
        <f>MROUND((M6+M6*N6),5)</f>
        <v>160</v>
      </c>
      <c r="J6" s="479">
        <v>210</v>
      </c>
      <c r="K6" s="411">
        <v>190</v>
      </c>
      <c r="L6" s="411">
        <v>160</v>
      </c>
      <c r="M6" s="674">
        <v>120</v>
      </c>
      <c r="N6" s="482">
        <f>инфляция!A2</f>
        <v>0.32590000000000002</v>
      </c>
    </row>
    <row r="7" spans="1:14" ht="18.75" x14ac:dyDescent="0.25">
      <c r="A7" s="385">
        <v>2</v>
      </c>
      <c r="B7" s="408" t="s">
        <v>501</v>
      </c>
      <c r="C7" s="409" t="s">
        <v>433</v>
      </c>
      <c r="D7" s="510">
        <f>MROUND((J7+J7*N7),5)</f>
        <v>330</v>
      </c>
      <c r="E7" s="411">
        <f>MROUND((K7+K7*N7),5)</f>
        <v>305</v>
      </c>
      <c r="F7" s="678">
        <f>MROUND((L7+L7*N7),5)</f>
        <v>265</v>
      </c>
      <c r="G7" s="411">
        <f>MROUND((M7+M7*N7),5)</f>
        <v>210</v>
      </c>
      <c r="J7" s="479">
        <v>250</v>
      </c>
      <c r="K7" s="411">
        <v>230</v>
      </c>
      <c r="L7" s="411">
        <v>200</v>
      </c>
      <c r="M7" s="674">
        <v>160</v>
      </c>
      <c r="N7" s="482">
        <f>N6</f>
        <v>0.32590000000000002</v>
      </c>
    </row>
    <row r="8" spans="1:14" ht="18.75" customHeight="1" x14ac:dyDescent="0.25">
      <c r="A8" s="880" t="s">
        <v>43</v>
      </c>
      <c r="B8" s="881"/>
      <c r="C8" s="881"/>
      <c r="D8" s="881"/>
      <c r="E8" s="881"/>
      <c r="F8" s="881"/>
      <c r="G8" s="883"/>
      <c r="N8" s="482">
        <f t="shared" ref="N8:N18" si="0">N7</f>
        <v>0.32590000000000002</v>
      </c>
    </row>
    <row r="9" spans="1:14" ht="18.75" customHeight="1" x14ac:dyDescent="0.25">
      <c r="A9" s="386">
        <v>3</v>
      </c>
      <c r="B9" s="408" t="s">
        <v>500</v>
      </c>
      <c r="C9" s="409" t="s">
        <v>433</v>
      </c>
      <c r="D9" s="117">
        <f>MROUND((J9+J9*N9),5)</f>
        <v>330</v>
      </c>
      <c r="E9" s="411">
        <f>MROUND((K9+K9*N9),5)</f>
        <v>305</v>
      </c>
      <c r="F9" s="678">
        <f>MROUND((L9+L9*N9),5)</f>
        <v>265</v>
      </c>
      <c r="G9" s="411">
        <f>MROUND((M9+M9*N9),5)</f>
        <v>210</v>
      </c>
      <c r="J9" s="117">
        <v>250</v>
      </c>
      <c r="K9" s="411">
        <v>230</v>
      </c>
      <c r="L9" s="411">
        <v>200</v>
      </c>
      <c r="M9" s="674">
        <v>160</v>
      </c>
      <c r="N9" s="482">
        <f t="shared" si="0"/>
        <v>0.32590000000000002</v>
      </c>
    </row>
    <row r="10" spans="1:14" ht="18.75" x14ac:dyDescent="0.25">
      <c r="A10" s="385">
        <v>4</v>
      </c>
      <c r="B10" s="408" t="s">
        <v>501</v>
      </c>
      <c r="C10" s="409" t="s">
        <v>433</v>
      </c>
      <c r="D10" s="117">
        <f>MROUND((J10+J10*N10),5)</f>
        <v>400</v>
      </c>
      <c r="E10" s="411">
        <f>MROUND((K10+K10*N10),5)</f>
        <v>370</v>
      </c>
      <c r="F10" s="678">
        <f>MROUND((L10+L10*N10),5)</f>
        <v>330</v>
      </c>
      <c r="G10" s="411">
        <f>MROUND((M10+M10*N10),5)</f>
        <v>280</v>
      </c>
      <c r="J10" s="479">
        <v>300</v>
      </c>
      <c r="K10" s="411">
        <v>280</v>
      </c>
      <c r="L10" s="411">
        <v>250</v>
      </c>
      <c r="M10" s="674">
        <v>210</v>
      </c>
      <c r="N10" s="482">
        <f t="shared" si="0"/>
        <v>0.32590000000000002</v>
      </c>
    </row>
    <row r="11" spans="1:14" ht="18.75" x14ac:dyDescent="0.25">
      <c r="A11" s="84">
        <v>5</v>
      </c>
      <c r="B11" s="311" t="s">
        <v>44</v>
      </c>
      <c r="C11" s="382" t="s">
        <v>12</v>
      </c>
      <c r="D11" s="887">
        <f>MROUND((J11+J11*N11),5)</f>
        <v>290</v>
      </c>
      <c r="E11" s="888"/>
      <c r="F11" s="888"/>
      <c r="G11" s="889"/>
      <c r="J11" s="865">
        <v>220</v>
      </c>
      <c r="K11" s="865"/>
      <c r="L11" s="865"/>
      <c r="M11" s="675"/>
      <c r="N11" s="482">
        <f t="shared" si="0"/>
        <v>0.32590000000000002</v>
      </c>
    </row>
    <row r="12" spans="1:14" ht="18.75" x14ac:dyDescent="0.25">
      <c r="A12" s="310">
        <v>6</v>
      </c>
      <c r="B12" s="311" t="s">
        <v>45</v>
      </c>
      <c r="C12" s="382" t="s">
        <v>12</v>
      </c>
      <c r="D12" s="887">
        <f>MROUND((J12+J12*N12),5)</f>
        <v>465</v>
      </c>
      <c r="E12" s="888"/>
      <c r="F12" s="888"/>
      <c r="G12" s="890"/>
      <c r="J12" s="865">
        <v>350</v>
      </c>
      <c r="K12" s="865"/>
      <c r="L12" s="865"/>
      <c r="M12" s="675"/>
      <c r="N12" s="482">
        <f t="shared" si="0"/>
        <v>0.32590000000000002</v>
      </c>
    </row>
    <row r="13" spans="1:14" ht="18.75" customHeight="1" x14ac:dyDescent="0.25">
      <c r="A13" s="880" t="s">
        <v>46</v>
      </c>
      <c r="B13" s="881"/>
      <c r="C13" s="881"/>
      <c r="D13" s="881"/>
      <c r="E13" s="881"/>
      <c r="F13" s="881"/>
      <c r="G13" s="883"/>
      <c r="N13" s="482">
        <f t="shared" si="0"/>
        <v>0.32590000000000002</v>
      </c>
    </row>
    <row r="14" spans="1:14" ht="23.25" x14ac:dyDescent="0.25">
      <c r="A14" s="385">
        <v>7</v>
      </c>
      <c r="B14" s="408" t="s">
        <v>47</v>
      </c>
      <c r="C14" s="409" t="s">
        <v>703</v>
      </c>
      <c r="D14" s="867">
        <v>0.55000000000000004</v>
      </c>
      <c r="E14" s="868"/>
      <c r="F14" s="868"/>
      <c r="G14" s="869"/>
      <c r="N14" s="482">
        <f t="shared" si="0"/>
        <v>0.32590000000000002</v>
      </c>
    </row>
    <row r="15" spans="1:14" ht="23.25" x14ac:dyDescent="0.25">
      <c r="A15" s="385">
        <v>8</v>
      </c>
      <c r="B15" s="408" t="s">
        <v>48</v>
      </c>
      <c r="C15" s="409" t="s">
        <v>703</v>
      </c>
      <c r="D15" s="867">
        <v>0.4</v>
      </c>
      <c r="E15" s="868"/>
      <c r="F15" s="868"/>
      <c r="G15" s="869"/>
      <c r="N15" s="482">
        <f t="shared" si="0"/>
        <v>0.32590000000000002</v>
      </c>
    </row>
    <row r="16" spans="1:14" ht="18.75" customHeight="1" x14ac:dyDescent="0.25">
      <c r="A16" s="880" t="s">
        <v>49</v>
      </c>
      <c r="B16" s="881"/>
      <c r="C16" s="881"/>
      <c r="D16" s="881"/>
      <c r="E16" s="881"/>
      <c r="F16" s="881"/>
      <c r="G16" s="883"/>
      <c r="N16" s="482">
        <f t="shared" si="0"/>
        <v>0.32590000000000002</v>
      </c>
    </row>
    <row r="17" spans="1:14" ht="18.75" x14ac:dyDescent="0.25">
      <c r="A17" s="385">
        <v>9</v>
      </c>
      <c r="B17" s="408" t="s">
        <v>50</v>
      </c>
      <c r="C17" s="388" t="s">
        <v>39</v>
      </c>
      <c r="D17" s="870">
        <f>MROUND((J17+J17*N17),100)</f>
        <v>9300</v>
      </c>
      <c r="E17" s="871"/>
      <c r="F17" s="871"/>
      <c r="G17" s="872"/>
      <c r="J17" s="866">
        <v>7000</v>
      </c>
      <c r="K17" s="866"/>
      <c r="L17" s="866"/>
      <c r="M17" s="676"/>
      <c r="N17" s="482">
        <f t="shared" si="0"/>
        <v>0.32590000000000002</v>
      </c>
    </row>
    <row r="18" spans="1:14" ht="18.75" x14ac:dyDescent="0.25">
      <c r="A18" s="385">
        <v>10</v>
      </c>
      <c r="B18" s="408" t="s">
        <v>51</v>
      </c>
      <c r="C18" s="388" t="s">
        <v>39</v>
      </c>
      <c r="D18" s="870">
        <f>MROUND((J18+J18*N18),100)</f>
        <v>8000</v>
      </c>
      <c r="E18" s="871"/>
      <c r="F18" s="871"/>
      <c r="G18" s="872"/>
      <c r="J18" s="866">
        <v>6000</v>
      </c>
      <c r="K18" s="866"/>
      <c r="L18" s="866"/>
      <c r="M18" s="676"/>
      <c r="N18" s="482">
        <f t="shared" si="0"/>
        <v>0.32590000000000002</v>
      </c>
    </row>
    <row r="20" spans="1:14" ht="21" customHeight="1" x14ac:dyDescent="0.25">
      <c r="A20" s="884" t="s">
        <v>668</v>
      </c>
      <c r="B20" s="885"/>
      <c r="C20" s="885"/>
      <c r="D20" s="885"/>
      <c r="E20" s="885"/>
      <c r="F20" s="885"/>
      <c r="G20" s="886"/>
    </row>
  </sheetData>
  <mergeCells count="17">
    <mergeCell ref="D3:G3"/>
    <mergeCell ref="A2:G2"/>
    <mergeCell ref="A5:G5"/>
    <mergeCell ref="A8:G8"/>
    <mergeCell ref="A20:G20"/>
    <mergeCell ref="D11:G11"/>
    <mergeCell ref="D12:G12"/>
    <mergeCell ref="A16:G16"/>
    <mergeCell ref="A13:G13"/>
    <mergeCell ref="J11:L11"/>
    <mergeCell ref="J12:L12"/>
    <mergeCell ref="J17:L17"/>
    <mergeCell ref="J18:L18"/>
    <mergeCell ref="D14:G14"/>
    <mergeCell ref="D15:G15"/>
    <mergeCell ref="D17:G17"/>
    <mergeCell ref="D18:G18"/>
  </mergeCells>
  <hyperlinks>
    <hyperlink ref="H2" location="СОДЕРЖАНИЕ!A1" display="назад к содержанию" xr:uid="{00000000-0004-0000-0600-000000000000}"/>
    <hyperlink ref="H3" location="Спасибо!A3" display="Спасибо!" xr:uid="{C97AC29B-99F0-AD49-AD2E-8C2584B9C964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workbookViewId="0">
      <selection activeCell="B37" sqref="B37"/>
    </sheetView>
  </sheetViews>
  <sheetFormatPr defaultRowHeight="15" x14ac:dyDescent="0.25"/>
  <cols>
    <col min="1" max="1" width="3.85546875" bestFit="1" customWidth="1"/>
    <col min="2" max="2" width="55.140625" style="18" customWidth="1"/>
    <col min="3" max="3" width="7.7109375" bestFit="1" customWidth="1"/>
    <col min="4" max="4" width="10.5703125" bestFit="1" customWidth="1"/>
    <col min="5" max="5" width="14" customWidth="1"/>
    <col min="8" max="9" width="0" hidden="1" customWidth="1"/>
  </cols>
  <sheetData>
    <row r="1" spans="1:9" ht="15.75" thickBot="1" x14ac:dyDescent="0.3">
      <c r="B1" s="755" t="str">
        <f>'1.6 БАННЕРА'!B1</f>
        <v>Актуально на 01 апреля 2022</v>
      </c>
    </row>
    <row r="2" spans="1:9" ht="30.75" thickBot="1" x14ac:dyDescent="0.3">
      <c r="A2" s="856" t="s">
        <v>52</v>
      </c>
      <c r="B2" s="856"/>
      <c r="C2" s="856"/>
      <c r="D2" s="857"/>
      <c r="E2" s="271" t="s">
        <v>302</v>
      </c>
      <c r="G2" s="579" t="s">
        <v>622</v>
      </c>
      <c r="I2" t="s">
        <v>544</v>
      </c>
    </row>
    <row r="3" spans="1:9" ht="30" x14ac:dyDescent="0.25">
      <c r="A3" s="62" t="s">
        <v>1</v>
      </c>
      <c r="B3" s="398" t="s">
        <v>2</v>
      </c>
      <c r="C3" s="422" t="s">
        <v>3</v>
      </c>
      <c r="D3" s="423" t="s">
        <v>4</v>
      </c>
      <c r="E3" s="390" t="s">
        <v>507</v>
      </c>
      <c r="F3" s="1" t="s">
        <v>448</v>
      </c>
      <c r="G3" s="18"/>
    </row>
    <row r="4" spans="1:9" ht="18.75" x14ac:dyDescent="0.25">
      <c r="A4" s="19">
        <v>1</v>
      </c>
      <c r="B4" s="32" t="s">
        <v>53</v>
      </c>
      <c r="C4" s="33" t="s">
        <v>433</v>
      </c>
      <c r="D4" s="424">
        <f>MROUND((H4+H4*I4),5)</f>
        <v>310</v>
      </c>
      <c r="E4" s="1"/>
      <c r="F4" s="401">
        <f>D4*E4</f>
        <v>0</v>
      </c>
      <c r="H4" s="424">
        <v>235</v>
      </c>
      <c r="I4" s="482">
        <f>инфляция!A2</f>
        <v>0.32590000000000002</v>
      </c>
    </row>
    <row r="5" spans="1:9" ht="18.75" x14ac:dyDescent="0.25">
      <c r="A5" s="19">
        <v>2</v>
      </c>
      <c r="B5" s="32" t="s">
        <v>54</v>
      </c>
      <c r="C5" s="33" t="s">
        <v>433</v>
      </c>
      <c r="D5" s="424">
        <f t="shared" ref="D5:D16" si="0">MROUND((H5+H5*I5),5)</f>
        <v>555</v>
      </c>
      <c r="E5" s="1"/>
      <c r="F5" s="401">
        <f t="shared" ref="F5:F17" si="1">D5*E5</f>
        <v>0</v>
      </c>
      <c r="H5" s="424">
        <v>420</v>
      </c>
      <c r="I5" s="482">
        <f>I4</f>
        <v>0.32590000000000002</v>
      </c>
    </row>
    <row r="6" spans="1:9" ht="18.75" x14ac:dyDescent="0.25">
      <c r="A6" s="19">
        <v>3</v>
      </c>
      <c r="B6" s="32" t="s">
        <v>55</v>
      </c>
      <c r="C6" s="33" t="s">
        <v>433</v>
      </c>
      <c r="D6" s="424">
        <f t="shared" si="0"/>
        <v>770</v>
      </c>
      <c r="E6" s="1"/>
      <c r="F6" s="401">
        <f t="shared" si="1"/>
        <v>0</v>
      </c>
      <c r="H6" s="424">
        <v>580</v>
      </c>
      <c r="I6" s="482">
        <f t="shared" ref="I6:I17" si="2">I5</f>
        <v>0.32590000000000002</v>
      </c>
    </row>
    <row r="7" spans="1:9" ht="30" x14ac:dyDescent="0.25">
      <c r="A7" s="19">
        <v>4</v>
      </c>
      <c r="B7" s="16" t="s">
        <v>56</v>
      </c>
      <c r="C7" s="19" t="s">
        <v>12</v>
      </c>
      <c r="D7" s="424">
        <f t="shared" si="0"/>
        <v>410</v>
      </c>
      <c r="E7" s="1"/>
      <c r="F7" s="401">
        <f t="shared" si="1"/>
        <v>0</v>
      </c>
      <c r="H7" s="425">
        <v>310</v>
      </c>
      <c r="I7" s="482">
        <f t="shared" si="2"/>
        <v>0.32590000000000002</v>
      </c>
    </row>
    <row r="8" spans="1:9" ht="18.75" x14ac:dyDescent="0.25">
      <c r="A8" s="19">
        <v>5</v>
      </c>
      <c r="B8" s="16" t="s">
        <v>57</v>
      </c>
      <c r="C8" s="19" t="s">
        <v>12</v>
      </c>
      <c r="D8" s="424">
        <f t="shared" si="0"/>
        <v>440</v>
      </c>
      <c r="E8" s="1"/>
      <c r="F8" s="401">
        <f t="shared" si="1"/>
        <v>0</v>
      </c>
      <c r="H8" s="425">
        <v>330</v>
      </c>
      <c r="I8" s="482">
        <f t="shared" si="2"/>
        <v>0.32590000000000002</v>
      </c>
    </row>
    <row r="9" spans="1:9" ht="18.75" x14ac:dyDescent="0.25">
      <c r="A9" s="19">
        <v>6</v>
      </c>
      <c r="B9" s="16" t="s">
        <v>733</v>
      </c>
      <c r="C9" s="19" t="s">
        <v>12</v>
      </c>
      <c r="D9" s="424">
        <f t="shared" si="0"/>
        <v>290</v>
      </c>
      <c r="E9" s="1"/>
      <c r="F9" s="401">
        <f t="shared" si="1"/>
        <v>0</v>
      </c>
      <c r="H9" s="425">
        <v>220</v>
      </c>
      <c r="I9" s="482">
        <f t="shared" si="2"/>
        <v>0.32590000000000002</v>
      </c>
    </row>
    <row r="10" spans="1:9" ht="30" x14ac:dyDescent="0.25">
      <c r="A10" s="19">
        <v>7</v>
      </c>
      <c r="B10" s="16" t="s">
        <v>58</v>
      </c>
      <c r="C10" s="19" t="s">
        <v>35</v>
      </c>
      <c r="D10" s="424">
        <f>MROUND((H10+H10*I10),100)</f>
        <v>1500</v>
      </c>
      <c r="E10" s="1"/>
      <c r="F10" s="401">
        <f t="shared" si="1"/>
        <v>0</v>
      </c>
      <c r="H10" s="425">
        <v>1100</v>
      </c>
      <c r="I10" s="482">
        <f t="shared" si="2"/>
        <v>0.32590000000000002</v>
      </c>
    </row>
    <row r="11" spans="1:9" ht="18.75" x14ac:dyDescent="0.25">
      <c r="A11" s="19">
        <v>8</v>
      </c>
      <c r="B11" s="16" t="s">
        <v>59</v>
      </c>
      <c r="C11" s="19" t="s">
        <v>433</v>
      </c>
      <c r="D11" s="424">
        <f t="shared" si="0"/>
        <v>105</v>
      </c>
      <c r="E11" s="1"/>
      <c r="F11" s="401">
        <f t="shared" si="1"/>
        <v>0</v>
      </c>
      <c r="H11" s="425">
        <v>80</v>
      </c>
      <c r="I11" s="482">
        <f t="shared" si="2"/>
        <v>0.32590000000000002</v>
      </c>
    </row>
    <row r="12" spans="1:9" ht="18.75" x14ac:dyDescent="0.25">
      <c r="A12" s="19">
        <v>9</v>
      </c>
      <c r="B12" s="31" t="s">
        <v>60</v>
      </c>
      <c r="C12" s="11" t="s">
        <v>555</v>
      </c>
      <c r="D12" s="424">
        <f t="shared" si="0"/>
        <v>345</v>
      </c>
      <c r="E12" s="1"/>
      <c r="F12" s="401">
        <f t="shared" si="1"/>
        <v>0</v>
      </c>
      <c r="H12" s="429">
        <v>260</v>
      </c>
      <c r="I12" s="482">
        <f t="shared" si="2"/>
        <v>0.32590000000000002</v>
      </c>
    </row>
    <row r="13" spans="1:9" ht="18.75" x14ac:dyDescent="0.25">
      <c r="A13" s="27">
        <v>10</v>
      </c>
      <c r="B13" s="24" t="s">
        <v>61</v>
      </c>
      <c r="C13" s="27" t="s">
        <v>12</v>
      </c>
      <c r="D13" s="424">
        <f t="shared" si="0"/>
        <v>665</v>
      </c>
      <c r="E13" s="1"/>
      <c r="F13" s="401">
        <f t="shared" si="1"/>
        <v>0</v>
      </c>
      <c r="H13" s="426">
        <v>500</v>
      </c>
      <c r="I13" s="482">
        <f t="shared" si="2"/>
        <v>0.32590000000000002</v>
      </c>
    </row>
    <row r="14" spans="1:9" ht="30" x14ac:dyDescent="0.25">
      <c r="A14" s="28">
        <v>11</v>
      </c>
      <c r="B14" s="25" t="s">
        <v>62</v>
      </c>
      <c r="C14" s="28" t="s">
        <v>35</v>
      </c>
      <c r="D14" s="424">
        <f t="shared" si="0"/>
        <v>595</v>
      </c>
      <c r="E14" s="1"/>
      <c r="F14" s="401">
        <f t="shared" si="1"/>
        <v>0</v>
      </c>
      <c r="H14" s="427">
        <v>450</v>
      </c>
      <c r="I14" s="482">
        <f t="shared" si="2"/>
        <v>0.32590000000000002</v>
      </c>
    </row>
    <row r="15" spans="1:9" ht="30" x14ac:dyDescent="0.25">
      <c r="A15" s="28">
        <v>12</v>
      </c>
      <c r="B15" s="26" t="s">
        <v>63</v>
      </c>
      <c r="C15" s="28" t="s">
        <v>12</v>
      </c>
      <c r="D15" s="424">
        <f t="shared" si="0"/>
        <v>330</v>
      </c>
      <c r="E15" s="1"/>
      <c r="F15" s="401">
        <f t="shared" si="1"/>
        <v>0</v>
      </c>
      <c r="H15" s="428">
        <v>250</v>
      </c>
      <c r="I15" s="482">
        <f t="shared" si="2"/>
        <v>0.32590000000000002</v>
      </c>
    </row>
    <row r="16" spans="1:9" ht="18.75" x14ac:dyDescent="0.25">
      <c r="A16" s="28">
        <v>13</v>
      </c>
      <c r="B16" s="26" t="s">
        <v>64</v>
      </c>
      <c r="C16" s="28" t="s">
        <v>12</v>
      </c>
      <c r="D16" s="424">
        <f t="shared" si="0"/>
        <v>440</v>
      </c>
      <c r="E16" s="1"/>
      <c r="F16" s="401">
        <f t="shared" si="1"/>
        <v>0</v>
      </c>
      <c r="H16" s="428">
        <v>330</v>
      </c>
      <c r="I16" s="482">
        <f t="shared" si="2"/>
        <v>0.32590000000000002</v>
      </c>
    </row>
    <row r="17" spans="1:9" ht="30" x14ac:dyDescent="0.25">
      <c r="A17" s="28">
        <v>14</v>
      </c>
      <c r="B17" s="26" t="s">
        <v>65</v>
      </c>
      <c r="C17" s="28" t="s">
        <v>433</v>
      </c>
      <c r="D17" s="424">
        <f>MROUND((H17+H17*I17),100)</f>
        <v>2000</v>
      </c>
      <c r="E17" s="1"/>
      <c r="F17" s="401">
        <f t="shared" si="1"/>
        <v>0</v>
      </c>
      <c r="H17" s="428">
        <v>1500</v>
      </c>
      <c r="I17" s="482">
        <f t="shared" si="2"/>
        <v>0.32590000000000002</v>
      </c>
    </row>
    <row r="18" spans="1:9" x14ac:dyDescent="0.25">
      <c r="A18" s="20"/>
      <c r="F18" s="403">
        <f>SUM(F4:F17)</f>
        <v>0</v>
      </c>
    </row>
    <row r="19" spans="1:9" ht="26.25" customHeight="1" x14ac:dyDescent="0.25">
      <c r="A19" s="858" t="s">
        <v>668</v>
      </c>
      <c r="B19" s="858"/>
      <c r="C19" s="858"/>
      <c r="D19" s="858"/>
    </row>
  </sheetData>
  <mergeCells count="2">
    <mergeCell ref="A2:D2"/>
    <mergeCell ref="A19:D19"/>
  </mergeCells>
  <dataValidations count="1">
    <dataValidation type="list" allowBlank="1" showInputMessage="1" showErrorMessage="1" sqref="H12" xr:uid="{00000000-0002-0000-0700-000000000000}">
      <formula1>"260,270,280,290,300,310,320,330,340,350,360,370,380,390,400,450,500,550,600,650,700,750,800,850,900,950,1000,1100,1200,1300,1400,1500,1600,1700,1800,1900,2000"</formula1>
    </dataValidation>
  </dataValidations>
  <hyperlinks>
    <hyperlink ref="E2" location="СОДЕРЖАНИЕ!A1" display="назад к содержанию" xr:uid="{00000000-0004-0000-0700-000000000000}"/>
    <hyperlink ref="G2" location="Спасибо!A3" display="Спасибо!" xr:uid="{C1A47816-18B1-224F-B1ED-A4E6CC41E7C4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4"/>
  <sheetViews>
    <sheetView workbookViewId="0">
      <selection activeCell="E48" sqref="E48"/>
    </sheetView>
  </sheetViews>
  <sheetFormatPr defaultColWidth="8.5703125" defaultRowHeight="15" x14ac:dyDescent="0.25"/>
  <cols>
    <col min="1" max="1" width="3.85546875" style="20" bestFit="1" customWidth="1"/>
    <col min="2" max="2" width="55.140625" style="18" customWidth="1"/>
    <col min="3" max="3" width="7.7109375" bestFit="1" customWidth="1"/>
    <col min="4" max="4" width="10.5703125" style="374" bestFit="1" customWidth="1"/>
    <col min="5" max="5" width="12.7109375" customWidth="1"/>
    <col min="6" max="7" width="8.5703125" hidden="1" customWidth="1"/>
    <col min="8" max="8" width="8.5703125" style="403" customWidth="1"/>
    <col min="9" max="9" width="10.28515625" bestFit="1" customWidth="1"/>
    <col min="10" max="11" width="8.5703125" hidden="1" customWidth="1"/>
  </cols>
  <sheetData>
    <row r="1" spans="1:12" ht="15.75" thickBot="1" x14ac:dyDescent="0.3">
      <c r="B1" s="755" t="str">
        <f>'1.7 Наплавляйка'!B1</f>
        <v>Актуально на 01 апреля 2022</v>
      </c>
    </row>
    <row r="2" spans="1:12" ht="30.75" thickBot="1" x14ac:dyDescent="0.3">
      <c r="A2" s="893" t="s">
        <v>303</v>
      </c>
      <c r="B2" s="894"/>
      <c r="C2" s="895"/>
      <c r="D2" s="896"/>
      <c r="E2" s="236" t="s">
        <v>302</v>
      </c>
      <c r="H2" s="500" t="s">
        <v>515</v>
      </c>
      <c r="I2" s="486" t="s">
        <v>4</v>
      </c>
      <c r="K2" t="s">
        <v>544</v>
      </c>
      <c r="L2" s="579" t="s">
        <v>622</v>
      </c>
    </row>
    <row r="3" spans="1:12" ht="15.75" x14ac:dyDescent="0.25">
      <c r="A3" s="901" t="s">
        <v>1</v>
      </c>
      <c r="B3" s="899" t="s">
        <v>2</v>
      </c>
      <c r="C3" s="897" t="s">
        <v>3</v>
      </c>
      <c r="D3" s="430" t="s">
        <v>4</v>
      </c>
      <c r="H3" s="489">
        <v>70</v>
      </c>
      <c r="I3" s="487" t="s">
        <v>556</v>
      </c>
      <c r="L3" s="18"/>
    </row>
    <row r="4" spans="1:12" x14ac:dyDescent="0.25">
      <c r="A4" s="901"/>
      <c r="B4" s="899"/>
      <c r="C4" s="897"/>
      <c r="D4" s="431" t="s">
        <v>85</v>
      </c>
      <c r="E4" s="891" t="s">
        <v>507</v>
      </c>
      <c r="H4" s="892" t="s">
        <v>448</v>
      </c>
      <c r="I4" s="488">
        <f>H3</f>
        <v>70</v>
      </c>
    </row>
    <row r="5" spans="1:12" x14ac:dyDescent="0.25">
      <c r="A5" s="902"/>
      <c r="B5" s="900"/>
      <c r="C5" s="898"/>
      <c r="D5" s="42" t="s">
        <v>86</v>
      </c>
      <c r="E5" s="891"/>
      <c r="G5">
        <f>H3</f>
        <v>70</v>
      </c>
      <c r="H5" s="892"/>
      <c r="I5" s="487" t="s">
        <v>557</v>
      </c>
    </row>
    <row r="6" spans="1:12" ht="18.75" x14ac:dyDescent="0.25">
      <c r="A6" s="19">
        <v>1</v>
      </c>
      <c r="B6" s="34" t="s">
        <v>87</v>
      </c>
      <c r="C6" s="36" t="s">
        <v>433</v>
      </c>
      <c r="D6" s="432">
        <f>MROUND((J6+J6*K6),5)</f>
        <v>100</v>
      </c>
      <c r="E6" s="1"/>
      <c r="F6" s="1">
        <f t="shared" ref="F6:F42" si="0">IF(G5=10,1,IF(G5=20,1,IF(G5=30,1,IF(G5=35,1.05,IF(G5=40,1.1,IF(G5=45,1.2,IF(G5=50,1.25,IF(G5=55,1.3,IF(G5=60,1.35,IF(G5=65,1.4,IF(G5=70,1.45,"")))))))))))</f>
        <v>1.45</v>
      </c>
      <c r="G6" s="1">
        <f>G5</f>
        <v>70</v>
      </c>
      <c r="H6" s="490">
        <f>D6*E6</f>
        <v>0</v>
      </c>
      <c r="I6" s="499">
        <f>MROUND((F6*D6),5)</f>
        <v>145</v>
      </c>
      <c r="J6" s="491">
        <v>75</v>
      </c>
      <c r="K6" s="482">
        <f>инфляция!A2</f>
        <v>0.32590000000000002</v>
      </c>
    </row>
    <row r="7" spans="1:12" ht="18.75" x14ac:dyDescent="0.25">
      <c r="A7" s="19">
        <v>2</v>
      </c>
      <c r="B7" s="34" t="s">
        <v>66</v>
      </c>
      <c r="C7" s="36" t="s">
        <v>12</v>
      </c>
      <c r="D7" s="432">
        <f t="shared" ref="D7:D19" si="1">MROUND((J7+J7*K7),5)</f>
        <v>330</v>
      </c>
      <c r="E7" s="1"/>
      <c r="F7" s="1">
        <f t="shared" si="0"/>
        <v>1.45</v>
      </c>
      <c r="G7" s="1">
        <f t="shared" ref="G7:G42" si="2">G6</f>
        <v>70</v>
      </c>
      <c r="H7" s="490">
        <f t="shared" ref="H7:H42" si="3">D7*E7</f>
        <v>0</v>
      </c>
      <c r="I7" s="499">
        <f t="shared" ref="I7:I42" si="4">MROUND((F7*D7),5)</f>
        <v>480</v>
      </c>
      <c r="J7" s="491">
        <v>250</v>
      </c>
      <c r="K7" s="482">
        <f>K6</f>
        <v>0.32590000000000002</v>
      </c>
    </row>
    <row r="8" spans="1:12" ht="18.75" x14ac:dyDescent="0.25">
      <c r="A8" s="19">
        <v>3</v>
      </c>
      <c r="B8" s="34" t="s">
        <v>67</v>
      </c>
      <c r="C8" s="36" t="s">
        <v>12</v>
      </c>
      <c r="D8" s="432">
        <f t="shared" si="1"/>
        <v>665</v>
      </c>
      <c r="E8" s="1"/>
      <c r="F8" s="1">
        <f t="shared" si="0"/>
        <v>1.45</v>
      </c>
      <c r="G8" s="1">
        <f t="shared" si="2"/>
        <v>70</v>
      </c>
      <c r="H8" s="490">
        <f t="shared" si="3"/>
        <v>0</v>
      </c>
      <c r="I8" s="499">
        <f t="shared" si="4"/>
        <v>965</v>
      </c>
      <c r="J8" s="492">
        <v>500</v>
      </c>
      <c r="K8" s="482">
        <f t="shared" ref="K8:K42" si="5">K7</f>
        <v>0.32590000000000002</v>
      </c>
    </row>
    <row r="9" spans="1:12" ht="18.75" x14ac:dyDescent="0.25">
      <c r="A9" s="19">
        <v>4</v>
      </c>
      <c r="B9" s="34" t="s">
        <v>68</v>
      </c>
      <c r="C9" s="36" t="s">
        <v>12</v>
      </c>
      <c r="D9" s="432">
        <f t="shared" si="1"/>
        <v>330</v>
      </c>
      <c r="E9" s="1"/>
      <c r="F9" s="1">
        <f t="shared" si="0"/>
        <v>1.45</v>
      </c>
      <c r="G9" s="1">
        <f t="shared" si="2"/>
        <v>70</v>
      </c>
      <c r="H9" s="490">
        <f t="shared" si="3"/>
        <v>0</v>
      </c>
      <c r="I9" s="499">
        <f t="shared" si="4"/>
        <v>480</v>
      </c>
      <c r="J9" s="492">
        <v>250</v>
      </c>
      <c r="K9" s="482">
        <f t="shared" si="5"/>
        <v>0.32590000000000002</v>
      </c>
    </row>
    <row r="10" spans="1:12" ht="18.75" x14ac:dyDescent="0.25">
      <c r="A10" s="19">
        <v>5</v>
      </c>
      <c r="B10" s="34" t="s">
        <v>734</v>
      </c>
      <c r="C10" s="36" t="s">
        <v>433</v>
      </c>
      <c r="D10" s="432">
        <f t="shared" si="1"/>
        <v>930</v>
      </c>
      <c r="E10" s="1"/>
      <c r="F10" s="1">
        <f t="shared" si="0"/>
        <v>1.45</v>
      </c>
      <c r="G10" s="1">
        <f t="shared" si="2"/>
        <v>70</v>
      </c>
      <c r="H10" s="490">
        <f t="shared" si="3"/>
        <v>0</v>
      </c>
      <c r="I10" s="499">
        <f t="shared" si="4"/>
        <v>1350</v>
      </c>
      <c r="J10" s="491">
        <v>700</v>
      </c>
      <c r="K10" s="482">
        <f t="shared" si="5"/>
        <v>0.32590000000000002</v>
      </c>
    </row>
    <row r="11" spans="1:12" ht="18.75" x14ac:dyDescent="0.25">
      <c r="A11" s="19">
        <v>6</v>
      </c>
      <c r="B11" s="34" t="s">
        <v>735</v>
      </c>
      <c r="C11" s="36" t="s">
        <v>433</v>
      </c>
      <c r="D11" s="432">
        <f t="shared" si="1"/>
        <v>1060</v>
      </c>
      <c r="E11" s="1"/>
      <c r="F11" s="1">
        <v>1</v>
      </c>
      <c r="G11" s="1"/>
      <c r="H11" s="490">
        <f t="shared" si="3"/>
        <v>0</v>
      </c>
      <c r="I11" s="499">
        <f t="shared" si="4"/>
        <v>1060</v>
      </c>
      <c r="J11" s="491">
        <v>800</v>
      </c>
      <c r="K11" s="482">
        <f t="shared" si="5"/>
        <v>0.32590000000000002</v>
      </c>
    </row>
    <row r="12" spans="1:12" ht="18.75" x14ac:dyDescent="0.25">
      <c r="A12" s="19">
        <v>7</v>
      </c>
      <c r="B12" s="34" t="s">
        <v>736</v>
      </c>
      <c r="C12" s="36" t="s">
        <v>433</v>
      </c>
      <c r="D12" s="432">
        <f t="shared" si="1"/>
        <v>730</v>
      </c>
      <c r="E12" s="1"/>
      <c r="F12" s="1">
        <f>IF(G10=10,1,IF(G10=20,1,IF(G10=30,1,IF(G10=35,1.05,IF(G10=40,1.1,IF(G10=45,1.2,IF(G10=50,1.25,IF(G10=55,1.3,IF(G10=60,1.35,IF(G10=65,1.4,IF(G10=70,1.45,"")))))))))))</f>
        <v>1.45</v>
      </c>
      <c r="G12" s="1">
        <f>G10</f>
        <v>70</v>
      </c>
      <c r="H12" s="490">
        <f t="shared" si="3"/>
        <v>0</v>
      </c>
      <c r="I12" s="499">
        <f t="shared" si="4"/>
        <v>1060</v>
      </c>
      <c r="J12" s="491">
        <v>550</v>
      </c>
      <c r="K12" s="482">
        <f t="shared" si="5"/>
        <v>0.32590000000000002</v>
      </c>
    </row>
    <row r="13" spans="1:12" ht="18.75" x14ac:dyDescent="0.25">
      <c r="A13" s="19">
        <v>8</v>
      </c>
      <c r="B13" s="34" t="s">
        <v>737</v>
      </c>
      <c r="C13" s="36" t="s">
        <v>433</v>
      </c>
      <c r="D13" s="432">
        <f t="shared" si="1"/>
        <v>860</v>
      </c>
      <c r="E13" s="1"/>
      <c r="F13" s="1">
        <v>1</v>
      </c>
      <c r="G13" s="1"/>
      <c r="H13" s="490">
        <f t="shared" si="3"/>
        <v>0</v>
      </c>
      <c r="I13" s="499">
        <f t="shared" si="4"/>
        <v>860</v>
      </c>
      <c r="J13" s="491">
        <v>650</v>
      </c>
      <c r="K13" s="482">
        <f t="shared" si="5"/>
        <v>0.32590000000000002</v>
      </c>
    </row>
    <row r="14" spans="1:12" ht="18.75" x14ac:dyDescent="0.25">
      <c r="A14" s="19">
        <v>9</v>
      </c>
      <c r="B14" s="34" t="s">
        <v>784</v>
      </c>
      <c r="C14" s="36" t="s">
        <v>12</v>
      </c>
      <c r="D14" s="432">
        <f t="shared" si="1"/>
        <v>795</v>
      </c>
      <c r="E14" s="1"/>
      <c r="F14" s="1">
        <f>IF(G12=10,1,IF(G12=20,1,IF(G12=30,1,IF(G12=35,1.05,IF(G12=40,1.1,IF(G12=45,1.2,IF(G12=50,1.25,IF(G12=55,1.3,IF(G12=60,1.35,IF(G12=65,1.4,IF(G12=70,1.45,"")))))))))))</f>
        <v>1.45</v>
      </c>
      <c r="G14" s="1">
        <f>G12</f>
        <v>70</v>
      </c>
      <c r="H14" s="490">
        <f t="shared" si="3"/>
        <v>0</v>
      </c>
      <c r="I14" s="499">
        <f t="shared" si="4"/>
        <v>1155</v>
      </c>
      <c r="J14" s="491">
        <v>600</v>
      </c>
      <c r="K14" s="482">
        <f t="shared" si="5"/>
        <v>0.32590000000000002</v>
      </c>
    </row>
    <row r="15" spans="1:12" ht="18.75" x14ac:dyDescent="0.25">
      <c r="A15" s="19">
        <v>10</v>
      </c>
      <c r="B15" s="34" t="s">
        <v>738</v>
      </c>
      <c r="C15" s="36" t="s">
        <v>12</v>
      </c>
      <c r="D15" s="432">
        <f t="shared" si="1"/>
        <v>290</v>
      </c>
      <c r="E15" s="1"/>
      <c r="F15" s="1">
        <f t="shared" si="0"/>
        <v>1.45</v>
      </c>
      <c r="G15" s="1">
        <f t="shared" si="2"/>
        <v>70</v>
      </c>
      <c r="H15" s="490">
        <f t="shared" si="3"/>
        <v>0</v>
      </c>
      <c r="I15" s="499">
        <f t="shared" si="4"/>
        <v>420</v>
      </c>
      <c r="J15" s="492">
        <v>220</v>
      </c>
      <c r="K15" s="482">
        <f t="shared" si="5"/>
        <v>0.32590000000000002</v>
      </c>
    </row>
    <row r="16" spans="1:12" ht="18.75" x14ac:dyDescent="0.25">
      <c r="A16" s="19">
        <v>11</v>
      </c>
      <c r="B16" s="684" t="s">
        <v>69</v>
      </c>
      <c r="C16" s="685" t="s">
        <v>433</v>
      </c>
      <c r="D16" s="686">
        <f t="shared" si="1"/>
        <v>95</v>
      </c>
      <c r="E16" s="1"/>
      <c r="F16" s="1">
        <f t="shared" si="0"/>
        <v>1.45</v>
      </c>
      <c r="G16" s="1">
        <f t="shared" si="2"/>
        <v>70</v>
      </c>
      <c r="H16" s="490">
        <f t="shared" si="3"/>
        <v>0</v>
      </c>
      <c r="I16" s="499">
        <f t="shared" si="4"/>
        <v>140</v>
      </c>
      <c r="J16" s="492">
        <v>70</v>
      </c>
      <c r="K16" s="482">
        <f t="shared" si="5"/>
        <v>0.32590000000000002</v>
      </c>
    </row>
    <row r="17" spans="1:11" ht="18.75" x14ac:dyDescent="0.25">
      <c r="A17" s="19">
        <v>12</v>
      </c>
      <c r="B17" s="687" t="s">
        <v>739</v>
      </c>
      <c r="C17" s="688" t="s">
        <v>12</v>
      </c>
      <c r="D17" s="686">
        <f t="shared" si="1"/>
        <v>135</v>
      </c>
      <c r="E17" s="1"/>
      <c r="F17" s="1">
        <f t="shared" si="0"/>
        <v>1.45</v>
      </c>
      <c r="G17" s="1">
        <f t="shared" si="2"/>
        <v>70</v>
      </c>
      <c r="H17" s="490">
        <f t="shared" si="3"/>
        <v>0</v>
      </c>
      <c r="I17" s="499">
        <f t="shared" si="4"/>
        <v>195</v>
      </c>
      <c r="J17" s="492">
        <v>100</v>
      </c>
      <c r="K17" s="482">
        <f t="shared" si="5"/>
        <v>0.32590000000000002</v>
      </c>
    </row>
    <row r="18" spans="1:11" ht="18.75" x14ac:dyDescent="0.25">
      <c r="A18" s="19">
        <v>13</v>
      </c>
      <c r="B18" s="58" t="s">
        <v>70</v>
      </c>
      <c r="C18" s="689" t="s">
        <v>12</v>
      </c>
      <c r="D18" s="686">
        <f t="shared" si="1"/>
        <v>105</v>
      </c>
      <c r="E18" s="1"/>
      <c r="F18" s="1">
        <f t="shared" si="0"/>
        <v>1.45</v>
      </c>
      <c r="G18" s="1">
        <f t="shared" si="2"/>
        <v>70</v>
      </c>
      <c r="H18" s="490">
        <f t="shared" si="3"/>
        <v>0</v>
      </c>
      <c r="I18" s="499">
        <f t="shared" si="4"/>
        <v>150</v>
      </c>
      <c r="J18" s="493">
        <v>80</v>
      </c>
      <c r="K18" s="482">
        <f t="shared" si="5"/>
        <v>0.32590000000000002</v>
      </c>
    </row>
    <row r="19" spans="1:11" ht="18.75" x14ac:dyDescent="0.25">
      <c r="A19" s="19">
        <v>14</v>
      </c>
      <c r="B19" s="58" t="s">
        <v>71</v>
      </c>
      <c r="C19" s="689" t="s">
        <v>433</v>
      </c>
      <c r="D19" s="686">
        <f t="shared" si="1"/>
        <v>400</v>
      </c>
      <c r="E19" s="1"/>
      <c r="F19" s="1">
        <f t="shared" si="0"/>
        <v>1.45</v>
      </c>
      <c r="G19" s="1">
        <f t="shared" si="2"/>
        <v>70</v>
      </c>
      <c r="H19" s="490">
        <f t="shared" si="3"/>
        <v>0</v>
      </c>
      <c r="I19" s="499">
        <f t="shared" si="4"/>
        <v>580</v>
      </c>
      <c r="J19" s="494">
        <v>300</v>
      </c>
      <c r="K19" s="482">
        <f t="shared" si="5"/>
        <v>0.32590000000000002</v>
      </c>
    </row>
    <row r="20" spans="1:11" ht="18.75" x14ac:dyDescent="0.25">
      <c r="A20" s="19">
        <v>15</v>
      </c>
      <c r="B20" s="35" t="s">
        <v>72</v>
      </c>
      <c r="C20" s="37" t="s">
        <v>35</v>
      </c>
      <c r="D20" s="683">
        <f>MROUND((J20+J20*K20),50)</f>
        <v>3300</v>
      </c>
      <c r="E20" s="1"/>
      <c r="F20" s="1">
        <f t="shared" si="0"/>
        <v>1.45</v>
      </c>
      <c r="G20" s="1">
        <f t="shared" si="2"/>
        <v>70</v>
      </c>
      <c r="H20" s="490">
        <f t="shared" si="3"/>
        <v>0</v>
      </c>
      <c r="I20" s="499">
        <f t="shared" si="4"/>
        <v>4785</v>
      </c>
      <c r="J20" s="494">
        <v>2500</v>
      </c>
      <c r="K20" s="482">
        <f t="shared" si="5"/>
        <v>0.32590000000000002</v>
      </c>
    </row>
    <row r="21" spans="1:11" ht="18.75" x14ac:dyDescent="0.25">
      <c r="A21" s="19">
        <v>16</v>
      </c>
      <c r="B21" s="35" t="s">
        <v>73</v>
      </c>
      <c r="C21" s="37" t="s">
        <v>35</v>
      </c>
      <c r="D21" s="683">
        <f t="shared" ref="D21:D23" si="6">MROUND((J21+J21*K21),50)</f>
        <v>9300</v>
      </c>
      <c r="E21" s="1"/>
      <c r="F21" s="1">
        <f t="shared" si="0"/>
        <v>1.45</v>
      </c>
      <c r="G21" s="1">
        <f t="shared" si="2"/>
        <v>70</v>
      </c>
      <c r="H21" s="490">
        <f t="shared" si="3"/>
        <v>0</v>
      </c>
      <c r="I21" s="499">
        <f t="shared" si="4"/>
        <v>13485</v>
      </c>
      <c r="J21" s="494">
        <v>7000</v>
      </c>
      <c r="K21" s="482">
        <f t="shared" si="5"/>
        <v>0.32590000000000002</v>
      </c>
    </row>
    <row r="22" spans="1:11" ht="18.75" x14ac:dyDescent="0.25">
      <c r="A22" s="19">
        <v>17</v>
      </c>
      <c r="B22" s="35" t="s">
        <v>74</v>
      </c>
      <c r="C22" s="37" t="s">
        <v>35</v>
      </c>
      <c r="D22" s="683">
        <f t="shared" si="6"/>
        <v>7950</v>
      </c>
      <c r="E22" s="1"/>
      <c r="F22" s="1">
        <f t="shared" si="0"/>
        <v>1.45</v>
      </c>
      <c r="G22" s="1">
        <f t="shared" si="2"/>
        <v>70</v>
      </c>
      <c r="H22" s="490">
        <f t="shared" si="3"/>
        <v>0</v>
      </c>
      <c r="I22" s="499">
        <f t="shared" si="4"/>
        <v>11530</v>
      </c>
      <c r="J22" s="494">
        <v>6000</v>
      </c>
      <c r="K22" s="482">
        <f t="shared" si="5"/>
        <v>0.32590000000000002</v>
      </c>
    </row>
    <row r="23" spans="1:11" ht="18.75" x14ac:dyDescent="0.25">
      <c r="A23" s="19">
        <v>18</v>
      </c>
      <c r="B23" s="35" t="s">
        <v>75</v>
      </c>
      <c r="C23" s="37" t="s">
        <v>35</v>
      </c>
      <c r="D23" s="683">
        <f t="shared" si="6"/>
        <v>9950</v>
      </c>
      <c r="E23" s="1"/>
      <c r="F23" s="1">
        <f t="shared" si="0"/>
        <v>1.45</v>
      </c>
      <c r="G23" s="1">
        <f t="shared" si="2"/>
        <v>70</v>
      </c>
      <c r="H23" s="490">
        <f t="shared" si="3"/>
        <v>0</v>
      </c>
      <c r="I23" s="499">
        <f t="shared" si="4"/>
        <v>14430</v>
      </c>
      <c r="J23" s="494">
        <v>7500</v>
      </c>
      <c r="K23" s="482">
        <f t="shared" si="5"/>
        <v>0.32590000000000002</v>
      </c>
    </row>
    <row r="24" spans="1:11" ht="18.75" x14ac:dyDescent="0.25">
      <c r="A24" s="19">
        <v>19</v>
      </c>
      <c r="B24" s="22" t="s">
        <v>76</v>
      </c>
      <c r="C24" s="38" t="s">
        <v>433</v>
      </c>
      <c r="D24" s="39">
        <f>MROUND((J24+J24*K24),5)</f>
        <v>135</v>
      </c>
      <c r="E24" s="1"/>
      <c r="F24" s="1">
        <f t="shared" si="0"/>
        <v>1.45</v>
      </c>
      <c r="G24" s="1">
        <f t="shared" si="2"/>
        <v>70</v>
      </c>
      <c r="H24" s="490">
        <f t="shared" si="3"/>
        <v>0</v>
      </c>
      <c r="I24" s="499">
        <f t="shared" si="4"/>
        <v>195</v>
      </c>
      <c r="J24" s="495">
        <v>100</v>
      </c>
      <c r="K24" s="482">
        <f t="shared" si="5"/>
        <v>0.32590000000000002</v>
      </c>
    </row>
    <row r="25" spans="1:11" ht="18.75" x14ac:dyDescent="0.25">
      <c r="A25" s="19">
        <v>20</v>
      </c>
      <c r="B25" s="22" t="s">
        <v>77</v>
      </c>
      <c r="C25" s="38" t="s">
        <v>433</v>
      </c>
      <c r="D25" s="39">
        <f t="shared" ref="D25:D30" si="7">MROUND((J25+J25*K25),5)</f>
        <v>930</v>
      </c>
      <c r="E25" s="1"/>
      <c r="F25" s="1">
        <f t="shared" si="0"/>
        <v>1.45</v>
      </c>
      <c r="G25" s="1">
        <f t="shared" si="2"/>
        <v>70</v>
      </c>
      <c r="H25" s="490">
        <f t="shared" si="3"/>
        <v>0</v>
      </c>
      <c r="I25" s="499">
        <f t="shared" si="4"/>
        <v>1350</v>
      </c>
      <c r="J25" s="495">
        <v>700</v>
      </c>
      <c r="K25" s="482">
        <f t="shared" si="5"/>
        <v>0.32590000000000002</v>
      </c>
    </row>
    <row r="26" spans="1:11" ht="30" x14ac:dyDescent="0.25">
      <c r="A26" s="19">
        <v>21</v>
      </c>
      <c r="B26" s="22" t="s">
        <v>740</v>
      </c>
      <c r="C26" s="38" t="s">
        <v>12</v>
      </c>
      <c r="D26" s="39">
        <f t="shared" si="7"/>
        <v>440</v>
      </c>
      <c r="E26" s="1"/>
      <c r="F26" s="1">
        <f t="shared" si="0"/>
        <v>1.45</v>
      </c>
      <c r="G26" s="1">
        <f t="shared" si="2"/>
        <v>70</v>
      </c>
      <c r="H26" s="490">
        <f t="shared" si="3"/>
        <v>0</v>
      </c>
      <c r="I26" s="499">
        <f t="shared" si="4"/>
        <v>640</v>
      </c>
      <c r="J26" s="495">
        <v>330</v>
      </c>
      <c r="K26" s="482">
        <f t="shared" si="5"/>
        <v>0.32590000000000002</v>
      </c>
    </row>
    <row r="27" spans="1:11" ht="18.75" x14ac:dyDescent="0.25">
      <c r="A27" s="19">
        <v>22</v>
      </c>
      <c r="B27" s="306" t="s">
        <v>78</v>
      </c>
      <c r="C27" s="680" t="s">
        <v>433</v>
      </c>
      <c r="D27" s="681">
        <f t="shared" si="7"/>
        <v>555</v>
      </c>
      <c r="E27" s="1"/>
      <c r="F27" s="1">
        <f t="shared" si="0"/>
        <v>1.45</v>
      </c>
      <c r="G27" s="1">
        <f t="shared" si="2"/>
        <v>70</v>
      </c>
      <c r="H27" s="490">
        <f t="shared" si="3"/>
        <v>0</v>
      </c>
      <c r="I27" s="499">
        <f t="shared" si="4"/>
        <v>805</v>
      </c>
      <c r="J27" s="495">
        <v>420</v>
      </c>
      <c r="K27" s="482">
        <f t="shared" si="5"/>
        <v>0.32590000000000002</v>
      </c>
    </row>
    <row r="28" spans="1:11" ht="18.75" x14ac:dyDescent="0.25">
      <c r="A28" s="19">
        <v>23</v>
      </c>
      <c r="B28" s="306" t="s">
        <v>79</v>
      </c>
      <c r="C28" s="680" t="s">
        <v>433</v>
      </c>
      <c r="D28" s="681">
        <f t="shared" si="7"/>
        <v>610</v>
      </c>
      <c r="E28" s="1"/>
      <c r="F28" s="1">
        <f t="shared" si="0"/>
        <v>1.45</v>
      </c>
      <c r="G28" s="1">
        <f t="shared" si="2"/>
        <v>70</v>
      </c>
      <c r="H28" s="490">
        <f t="shared" si="3"/>
        <v>0</v>
      </c>
      <c r="I28" s="499">
        <f t="shared" si="4"/>
        <v>885</v>
      </c>
      <c r="J28" s="495">
        <v>460</v>
      </c>
      <c r="K28" s="482">
        <f t="shared" si="5"/>
        <v>0.32590000000000002</v>
      </c>
    </row>
    <row r="29" spans="1:11" ht="18.75" x14ac:dyDescent="0.25">
      <c r="A29" s="19">
        <v>24</v>
      </c>
      <c r="B29" s="306" t="s">
        <v>741</v>
      </c>
      <c r="C29" s="680" t="s">
        <v>433</v>
      </c>
      <c r="D29" s="681">
        <f t="shared" si="7"/>
        <v>795</v>
      </c>
      <c r="E29" s="1"/>
      <c r="F29" s="1">
        <v>1</v>
      </c>
      <c r="G29" s="1"/>
      <c r="H29" s="490">
        <f t="shared" si="3"/>
        <v>0</v>
      </c>
      <c r="I29" s="499">
        <f t="shared" si="4"/>
        <v>795</v>
      </c>
      <c r="J29" s="495">
        <v>600</v>
      </c>
      <c r="K29" s="482">
        <f t="shared" si="5"/>
        <v>0.32590000000000002</v>
      </c>
    </row>
    <row r="30" spans="1:11" ht="18.75" x14ac:dyDescent="0.25">
      <c r="A30" s="19">
        <v>25</v>
      </c>
      <c r="B30" s="306" t="s">
        <v>742</v>
      </c>
      <c r="C30" s="680" t="s">
        <v>433</v>
      </c>
      <c r="D30" s="681">
        <f t="shared" si="7"/>
        <v>400</v>
      </c>
      <c r="E30" s="1"/>
      <c r="F30" s="1">
        <v>1</v>
      </c>
      <c r="G30" s="1"/>
      <c r="H30" s="490">
        <f t="shared" si="3"/>
        <v>0</v>
      </c>
      <c r="I30" s="499">
        <f t="shared" si="4"/>
        <v>400</v>
      </c>
      <c r="J30" s="495">
        <v>300</v>
      </c>
      <c r="K30" s="482">
        <f t="shared" si="5"/>
        <v>0.32590000000000002</v>
      </c>
    </row>
    <row r="31" spans="1:11" ht="18.75" x14ac:dyDescent="0.25">
      <c r="A31" s="19">
        <v>26</v>
      </c>
      <c r="B31" s="35" t="s">
        <v>743</v>
      </c>
      <c r="C31" s="37" t="s">
        <v>12</v>
      </c>
      <c r="D31" s="682">
        <f>MROUND((J31+J31*K31),5)</f>
        <v>400</v>
      </c>
      <c r="E31" s="1"/>
      <c r="F31" s="1">
        <f>IF(G28=10,1,IF(G28=20,1,IF(G28=30,1,IF(G28=35,1.05,IF(G28=40,1.1,IF(G28=45,1.2,IF(G28=50,1.25,IF(G28=55,1.3,IF(G28=60,1.35,IF(G28=65,1.4,IF(G28=70,1.45,"")))))))))))</f>
        <v>1.45</v>
      </c>
      <c r="G31" s="1">
        <f>G28</f>
        <v>70</v>
      </c>
      <c r="H31" s="490">
        <f t="shared" si="3"/>
        <v>0</v>
      </c>
      <c r="I31" s="499">
        <f t="shared" si="4"/>
        <v>580</v>
      </c>
      <c r="J31" s="494">
        <v>300</v>
      </c>
      <c r="K31" s="482">
        <f t="shared" si="5"/>
        <v>0.32590000000000002</v>
      </c>
    </row>
    <row r="32" spans="1:11" ht="18.75" x14ac:dyDescent="0.25">
      <c r="A32" s="19">
        <v>27</v>
      </c>
      <c r="B32" s="35" t="s">
        <v>744</v>
      </c>
      <c r="C32" s="37" t="s">
        <v>12</v>
      </c>
      <c r="D32" s="682">
        <f>MROUND((J32+J32*K32),5)</f>
        <v>795</v>
      </c>
      <c r="E32" s="1"/>
      <c r="F32" s="1">
        <v>1</v>
      </c>
      <c r="G32" s="1"/>
      <c r="H32" s="490">
        <f t="shared" si="3"/>
        <v>0</v>
      </c>
      <c r="I32" s="499">
        <f t="shared" si="4"/>
        <v>795</v>
      </c>
      <c r="J32" s="496">
        <v>600</v>
      </c>
      <c r="K32" s="482">
        <f t="shared" si="5"/>
        <v>0.32590000000000002</v>
      </c>
    </row>
    <row r="33" spans="1:11" ht="18.75" x14ac:dyDescent="0.25">
      <c r="A33" s="19">
        <v>28</v>
      </c>
      <c r="B33" s="40" t="s">
        <v>80</v>
      </c>
      <c r="C33" s="41" t="s">
        <v>12</v>
      </c>
      <c r="D33" s="389">
        <f t="shared" ref="D33:D42" si="8">MROUND((J33+J33*K33),5)</f>
        <v>445</v>
      </c>
      <c r="E33" s="1"/>
      <c r="F33" s="1">
        <f>IF(G31=10,1,IF(G31=20,1,IF(G31=30,1,IF(G31=35,1.05,IF(G31=40,1.1,IF(G31=45,1.2,IF(G31=50,1.25,IF(G31=55,1.3,IF(G31=60,1.35,IF(G31=65,1.4,IF(G31=70,1.45,"")))))))))))</f>
        <v>1.45</v>
      </c>
      <c r="G33" s="1">
        <f>G31</f>
        <v>70</v>
      </c>
      <c r="H33" s="490">
        <f t="shared" si="3"/>
        <v>0</v>
      </c>
      <c r="I33" s="499">
        <f t="shared" si="4"/>
        <v>645</v>
      </c>
      <c r="J33" s="496">
        <v>335</v>
      </c>
      <c r="K33" s="482">
        <f t="shared" si="5"/>
        <v>0.32590000000000002</v>
      </c>
    </row>
    <row r="34" spans="1:11" ht="18.75" x14ac:dyDescent="0.25">
      <c r="A34" s="19">
        <v>29</v>
      </c>
      <c r="B34" s="40" t="s">
        <v>81</v>
      </c>
      <c r="C34" s="41" t="s">
        <v>35</v>
      </c>
      <c r="D34" s="389">
        <f t="shared" si="8"/>
        <v>225</v>
      </c>
      <c r="E34" s="1"/>
      <c r="F34" s="1">
        <f t="shared" si="0"/>
        <v>1.45</v>
      </c>
      <c r="G34" s="1">
        <f t="shared" si="2"/>
        <v>70</v>
      </c>
      <c r="H34" s="490">
        <f t="shared" si="3"/>
        <v>0</v>
      </c>
      <c r="I34" s="499">
        <f t="shared" si="4"/>
        <v>325</v>
      </c>
      <c r="J34" s="496">
        <v>170</v>
      </c>
      <c r="K34" s="482">
        <f t="shared" si="5"/>
        <v>0.32590000000000002</v>
      </c>
    </row>
    <row r="35" spans="1:11" ht="18.75" x14ac:dyDescent="0.25">
      <c r="A35" s="19">
        <v>30</v>
      </c>
      <c r="B35" s="22" t="s">
        <v>745</v>
      </c>
      <c r="C35" s="658" t="s">
        <v>12</v>
      </c>
      <c r="D35" s="39">
        <f t="shared" si="8"/>
        <v>345</v>
      </c>
      <c r="E35" s="1"/>
      <c r="F35" s="1">
        <f t="shared" si="0"/>
        <v>1.45</v>
      </c>
      <c r="G35" s="1">
        <f t="shared" si="2"/>
        <v>70</v>
      </c>
      <c r="H35" s="490">
        <f t="shared" si="3"/>
        <v>0</v>
      </c>
      <c r="I35" s="499">
        <f t="shared" si="4"/>
        <v>500</v>
      </c>
      <c r="J35" s="494">
        <v>260</v>
      </c>
      <c r="K35" s="482">
        <f t="shared" si="5"/>
        <v>0.32590000000000002</v>
      </c>
    </row>
    <row r="36" spans="1:11" ht="18.75" x14ac:dyDescent="0.25">
      <c r="A36" s="19">
        <v>31</v>
      </c>
      <c r="B36" s="22" t="s">
        <v>746</v>
      </c>
      <c r="C36" s="658" t="s">
        <v>12</v>
      </c>
      <c r="D36" s="39">
        <f t="shared" si="8"/>
        <v>450</v>
      </c>
      <c r="E36" s="1"/>
      <c r="F36" s="1">
        <v>1</v>
      </c>
      <c r="G36" s="1"/>
      <c r="H36" s="490">
        <f t="shared" si="3"/>
        <v>0</v>
      </c>
      <c r="I36" s="499">
        <f t="shared" si="4"/>
        <v>450</v>
      </c>
      <c r="J36" s="494">
        <v>340</v>
      </c>
      <c r="K36" s="482">
        <f t="shared" si="5"/>
        <v>0.32590000000000002</v>
      </c>
    </row>
    <row r="37" spans="1:11" ht="18.75" x14ac:dyDescent="0.25">
      <c r="A37" s="19">
        <v>32</v>
      </c>
      <c r="B37" s="22" t="s">
        <v>747</v>
      </c>
      <c r="C37" s="658" t="s">
        <v>12</v>
      </c>
      <c r="D37" s="39">
        <f t="shared" si="8"/>
        <v>475</v>
      </c>
      <c r="E37" s="1"/>
      <c r="F37" s="1">
        <v>1</v>
      </c>
      <c r="G37" s="1"/>
      <c r="H37" s="490">
        <f t="shared" si="3"/>
        <v>0</v>
      </c>
      <c r="I37" s="499">
        <f t="shared" si="4"/>
        <v>475</v>
      </c>
      <c r="J37" s="494">
        <v>360</v>
      </c>
      <c r="K37" s="482">
        <f t="shared" si="5"/>
        <v>0.32590000000000002</v>
      </c>
    </row>
    <row r="38" spans="1:11" ht="30" x14ac:dyDescent="0.25">
      <c r="A38" s="19">
        <v>33</v>
      </c>
      <c r="B38" s="22" t="s">
        <v>748</v>
      </c>
      <c r="C38" s="658" t="s">
        <v>35</v>
      </c>
      <c r="D38" s="39">
        <f t="shared" si="8"/>
        <v>120</v>
      </c>
      <c r="E38" s="1"/>
      <c r="F38" s="1">
        <f>IF(G35=10,1,IF(G35=20,1,IF(G35=30,1,IF(G35=35,1.05,IF(G35=40,1.1,IF(G35=45,1.2,IF(G35=50,1.25,IF(G35=55,1.3,IF(G35=60,1.35,IF(G35=65,1.4,IF(G35=70,1.45,"")))))))))))</f>
        <v>1.45</v>
      </c>
      <c r="G38" s="1">
        <f>G35</f>
        <v>70</v>
      </c>
      <c r="H38" s="490">
        <f t="shared" si="3"/>
        <v>0</v>
      </c>
      <c r="I38" s="499">
        <f t="shared" si="4"/>
        <v>175</v>
      </c>
      <c r="J38" s="494">
        <v>90</v>
      </c>
      <c r="K38" s="482">
        <f t="shared" si="5"/>
        <v>0.32590000000000002</v>
      </c>
    </row>
    <row r="39" spans="1:11" ht="18.75" x14ac:dyDescent="0.25">
      <c r="A39" s="19">
        <v>34</v>
      </c>
      <c r="B39" s="35" t="s">
        <v>82</v>
      </c>
      <c r="C39" s="37" t="s">
        <v>12</v>
      </c>
      <c r="D39" s="389">
        <f t="shared" si="8"/>
        <v>465</v>
      </c>
      <c r="E39" s="1"/>
      <c r="F39" s="1">
        <f t="shared" si="0"/>
        <v>1.45</v>
      </c>
      <c r="G39" s="1">
        <f t="shared" si="2"/>
        <v>70</v>
      </c>
      <c r="H39" s="490">
        <f t="shared" si="3"/>
        <v>0</v>
      </c>
      <c r="I39" s="499">
        <f t="shared" si="4"/>
        <v>675</v>
      </c>
      <c r="J39" s="494">
        <v>350</v>
      </c>
      <c r="K39" s="482">
        <f t="shared" si="5"/>
        <v>0.32590000000000002</v>
      </c>
    </row>
    <row r="40" spans="1:11" ht="18.75" x14ac:dyDescent="0.25">
      <c r="A40" s="19">
        <v>35</v>
      </c>
      <c r="B40" s="35" t="s">
        <v>84</v>
      </c>
      <c r="C40" s="44" t="s">
        <v>503</v>
      </c>
      <c r="D40" s="389">
        <f>MROUND((J40+J40*K40),50)</f>
        <v>2900</v>
      </c>
      <c r="E40" s="1"/>
      <c r="F40" s="1">
        <f t="shared" si="0"/>
        <v>1.45</v>
      </c>
      <c r="G40" s="1">
        <f t="shared" si="2"/>
        <v>70</v>
      </c>
      <c r="H40" s="490">
        <f t="shared" si="3"/>
        <v>0</v>
      </c>
      <c r="I40" s="499">
        <f t="shared" si="4"/>
        <v>4205</v>
      </c>
      <c r="J40" s="496">
        <v>2200</v>
      </c>
      <c r="K40" s="482">
        <f t="shared" si="5"/>
        <v>0.32590000000000002</v>
      </c>
    </row>
    <row r="41" spans="1:11" ht="28.5" customHeight="1" x14ac:dyDescent="0.25">
      <c r="A41" s="19">
        <v>36</v>
      </c>
      <c r="B41" s="378" t="s">
        <v>83</v>
      </c>
      <c r="C41" s="120" t="s">
        <v>433</v>
      </c>
      <c r="D41" s="389">
        <f t="shared" si="8"/>
        <v>225</v>
      </c>
      <c r="E41" s="1"/>
      <c r="F41" s="1">
        <f t="shared" si="0"/>
        <v>1.45</v>
      </c>
      <c r="G41" s="1">
        <f t="shared" si="2"/>
        <v>70</v>
      </c>
      <c r="H41" s="490">
        <f t="shared" si="3"/>
        <v>0</v>
      </c>
      <c r="I41" s="499">
        <f t="shared" si="4"/>
        <v>325</v>
      </c>
      <c r="J41" s="497">
        <v>170</v>
      </c>
      <c r="K41" s="482">
        <f t="shared" si="5"/>
        <v>0.32590000000000002</v>
      </c>
    </row>
    <row r="42" spans="1:11" ht="18.75" x14ac:dyDescent="0.25">
      <c r="A42" s="19">
        <v>37</v>
      </c>
      <c r="B42" s="54" t="s">
        <v>497</v>
      </c>
      <c r="C42" s="28" t="s">
        <v>12</v>
      </c>
      <c r="D42" s="389">
        <f t="shared" si="8"/>
        <v>795</v>
      </c>
      <c r="E42" s="1"/>
      <c r="F42" s="1">
        <f t="shared" si="0"/>
        <v>1.45</v>
      </c>
      <c r="G42" s="1">
        <f t="shared" si="2"/>
        <v>70</v>
      </c>
      <c r="H42" s="490">
        <f t="shared" si="3"/>
        <v>0</v>
      </c>
      <c r="I42" s="499">
        <f t="shared" si="4"/>
        <v>1155</v>
      </c>
      <c r="J42" s="498">
        <v>600</v>
      </c>
      <c r="K42" s="482">
        <f t="shared" si="5"/>
        <v>0.32590000000000002</v>
      </c>
    </row>
    <row r="43" spans="1:11" x14ac:dyDescent="0.25">
      <c r="H43" s="403">
        <f>SUM(H6:H42)</f>
        <v>0</v>
      </c>
    </row>
    <row r="44" spans="1:11" ht="31.5" customHeight="1" x14ac:dyDescent="0.25">
      <c r="A44" s="858" t="s">
        <v>668</v>
      </c>
      <c r="B44" s="858"/>
      <c r="C44" s="858"/>
      <c r="D44" s="858"/>
    </row>
  </sheetData>
  <mergeCells count="7">
    <mergeCell ref="A44:D44"/>
    <mergeCell ref="E4:E5"/>
    <mergeCell ref="H4:H5"/>
    <mergeCell ref="A2:D2"/>
    <mergeCell ref="C3:C5"/>
    <mergeCell ref="B3:B5"/>
    <mergeCell ref="A3:A5"/>
  </mergeCells>
  <dataValidations count="1">
    <dataValidation type="list" allowBlank="1" showInputMessage="1" showErrorMessage="1" sqref="H3" xr:uid="{00000000-0002-0000-0800-000000000000}">
      <formula1>"10,20,30,35,40,45,50,55,60,70"</formula1>
    </dataValidation>
  </dataValidations>
  <hyperlinks>
    <hyperlink ref="E2" location="СОДЕРЖАНИЕ!A1" display="назад к содержанию" xr:uid="{00000000-0004-0000-0800-000000000000}"/>
    <hyperlink ref="L2" location="Спасибо!A3" display="Спасибо!" xr:uid="{7150021B-6DB7-2649-9E97-4D6BADA9478B}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B42" sqref="B42"/>
    </sheetView>
  </sheetViews>
  <sheetFormatPr defaultRowHeight="15" x14ac:dyDescent="0.25"/>
  <cols>
    <col min="1" max="1" width="3.85546875" bestFit="1" customWidth="1"/>
    <col min="2" max="2" width="53.28515625" style="18" bestFit="1" customWidth="1"/>
    <col min="3" max="3" width="7.7109375" style="47" bestFit="1" customWidth="1"/>
    <col min="4" max="4" width="10.5703125" bestFit="1" customWidth="1"/>
    <col min="5" max="5" width="14.140625" customWidth="1"/>
    <col min="8" max="9" width="8.5703125" hidden="1" customWidth="1"/>
  </cols>
  <sheetData>
    <row r="1" spans="1:9" ht="15.75" thickBot="1" x14ac:dyDescent="0.3">
      <c r="B1" s="755" t="str">
        <f>'1.8 Кровельный пирог'!B1</f>
        <v>Актуально на 01 апреля 2022</v>
      </c>
    </row>
    <row r="2" spans="1:9" ht="30.75" thickBot="1" x14ac:dyDescent="0.3">
      <c r="A2" s="856" t="s">
        <v>88</v>
      </c>
      <c r="B2" s="856"/>
      <c r="C2" s="856"/>
      <c r="D2" s="857"/>
      <c r="E2" s="271" t="s">
        <v>302</v>
      </c>
      <c r="G2" s="579" t="s">
        <v>622</v>
      </c>
      <c r="I2" t="s">
        <v>544</v>
      </c>
    </row>
    <row r="3" spans="1:9" ht="30" x14ac:dyDescent="0.25">
      <c r="A3" s="48" t="s">
        <v>1</v>
      </c>
      <c r="B3" s="49" t="s">
        <v>2</v>
      </c>
      <c r="C3" s="46" t="s">
        <v>3</v>
      </c>
      <c r="D3" s="433" t="s">
        <v>4</v>
      </c>
      <c r="E3" s="359" t="s">
        <v>507</v>
      </c>
      <c r="F3" s="1" t="s">
        <v>448</v>
      </c>
      <c r="G3" s="18"/>
    </row>
    <row r="4" spans="1:9" ht="18.75" x14ac:dyDescent="0.25">
      <c r="A4" s="28">
        <v>1</v>
      </c>
      <c r="B4" s="303" t="s">
        <v>751</v>
      </c>
      <c r="C4" s="45" t="s">
        <v>433</v>
      </c>
      <c r="D4" s="427">
        <f>MROUND((H4+H4*I4),5)</f>
        <v>145</v>
      </c>
      <c r="E4" s="1"/>
      <c r="F4" s="401">
        <f>D4*E4</f>
        <v>0</v>
      </c>
      <c r="H4" s="427">
        <v>110</v>
      </c>
      <c r="I4" s="482">
        <f>инфляция!A2</f>
        <v>0.32590000000000002</v>
      </c>
    </row>
    <row r="5" spans="1:9" ht="18.75" x14ac:dyDescent="0.25">
      <c r="A5" s="28">
        <v>2</v>
      </c>
      <c r="B5" s="303" t="s">
        <v>752</v>
      </c>
      <c r="C5" s="45" t="s">
        <v>433</v>
      </c>
      <c r="D5" s="427">
        <f t="shared" ref="D5:D13" si="0">MROUND((H5+H5*I5),5)</f>
        <v>95</v>
      </c>
      <c r="E5" s="1"/>
      <c r="F5" s="401">
        <f t="shared" ref="F5:F20" si="1">D5*E5</f>
        <v>0</v>
      </c>
      <c r="H5" s="427">
        <v>70</v>
      </c>
      <c r="I5" s="482">
        <f>I4</f>
        <v>0.32590000000000002</v>
      </c>
    </row>
    <row r="6" spans="1:9" ht="18.75" x14ac:dyDescent="0.25">
      <c r="A6" s="28">
        <v>3</v>
      </c>
      <c r="B6" s="54" t="s">
        <v>749</v>
      </c>
      <c r="C6" s="45" t="s">
        <v>433</v>
      </c>
      <c r="D6" s="427">
        <f t="shared" si="0"/>
        <v>225</v>
      </c>
      <c r="E6" s="1"/>
      <c r="F6" s="401">
        <f t="shared" si="1"/>
        <v>0</v>
      </c>
      <c r="H6" s="427">
        <v>170</v>
      </c>
      <c r="I6" s="482">
        <f t="shared" ref="I6:I20" si="2">I5</f>
        <v>0.32590000000000002</v>
      </c>
    </row>
    <row r="7" spans="1:9" ht="18.75" x14ac:dyDescent="0.25">
      <c r="A7" s="28">
        <v>4</v>
      </c>
      <c r="B7" s="54" t="s">
        <v>750</v>
      </c>
      <c r="C7" s="45" t="s">
        <v>433</v>
      </c>
      <c r="D7" s="427">
        <f t="shared" si="0"/>
        <v>145</v>
      </c>
      <c r="E7" s="1"/>
      <c r="F7" s="401">
        <f t="shared" si="1"/>
        <v>0</v>
      </c>
      <c r="H7" s="427">
        <v>110</v>
      </c>
      <c r="I7" s="482">
        <f t="shared" si="2"/>
        <v>0.32590000000000002</v>
      </c>
    </row>
    <row r="8" spans="1:9" ht="18.75" x14ac:dyDescent="0.25">
      <c r="A8" s="28">
        <v>5</v>
      </c>
      <c r="B8" s="719" t="s">
        <v>755</v>
      </c>
      <c r="C8" s="45" t="s">
        <v>433</v>
      </c>
      <c r="D8" s="427">
        <f t="shared" si="0"/>
        <v>265</v>
      </c>
      <c r="E8" s="1"/>
      <c r="F8" s="401">
        <f t="shared" si="1"/>
        <v>0</v>
      </c>
      <c r="H8" s="427">
        <v>200</v>
      </c>
      <c r="I8" s="482">
        <f t="shared" si="2"/>
        <v>0.32590000000000002</v>
      </c>
    </row>
    <row r="9" spans="1:9" ht="18.75" x14ac:dyDescent="0.25">
      <c r="A9" s="28">
        <v>6</v>
      </c>
      <c r="B9" s="719" t="s">
        <v>756</v>
      </c>
      <c r="C9" s="45" t="s">
        <v>433</v>
      </c>
      <c r="D9" s="427">
        <f t="shared" si="0"/>
        <v>170</v>
      </c>
      <c r="E9" s="1"/>
      <c r="F9" s="401">
        <f t="shared" si="1"/>
        <v>0</v>
      </c>
      <c r="H9" s="427">
        <v>130</v>
      </c>
      <c r="I9" s="482">
        <f t="shared" si="2"/>
        <v>0.32590000000000002</v>
      </c>
    </row>
    <row r="10" spans="1:9" ht="18.75" x14ac:dyDescent="0.25">
      <c r="A10" s="28">
        <v>7</v>
      </c>
      <c r="B10" s="54" t="s">
        <v>753</v>
      </c>
      <c r="C10" s="45" t="s">
        <v>433</v>
      </c>
      <c r="D10" s="427">
        <f t="shared" si="0"/>
        <v>240</v>
      </c>
      <c r="E10" s="1"/>
      <c r="F10" s="401">
        <f t="shared" si="1"/>
        <v>0</v>
      </c>
      <c r="H10" s="427">
        <v>180</v>
      </c>
      <c r="I10" s="482">
        <f t="shared" si="2"/>
        <v>0.32590000000000002</v>
      </c>
    </row>
    <row r="11" spans="1:9" ht="18.75" x14ac:dyDescent="0.25">
      <c r="A11" s="28">
        <v>8</v>
      </c>
      <c r="B11" s="54" t="s">
        <v>754</v>
      </c>
      <c r="C11" s="45" t="s">
        <v>433</v>
      </c>
      <c r="D11" s="427">
        <f t="shared" si="0"/>
        <v>160</v>
      </c>
      <c r="E11" s="1"/>
      <c r="F11" s="401">
        <f t="shared" si="1"/>
        <v>0</v>
      </c>
      <c r="H11" s="427">
        <v>120</v>
      </c>
      <c r="I11" s="482">
        <f t="shared" si="2"/>
        <v>0.32590000000000002</v>
      </c>
    </row>
    <row r="12" spans="1:9" ht="18.75" x14ac:dyDescent="0.25">
      <c r="A12" s="28">
        <v>9</v>
      </c>
      <c r="B12" s="55" t="s">
        <v>89</v>
      </c>
      <c r="C12" s="45" t="s">
        <v>433</v>
      </c>
      <c r="D12" s="427">
        <f t="shared" si="0"/>
        <v>95</v>
      </c>
      <c r="E12" s="1"/>
      <c r="F12" s="401">
        <f t="shared" si="1"/>
        <v>0</v>
      </c>
      <c r="H12" s="427">
        <v>70</v>
      </c>
      <c r="I12" s="482">
        <f t="shared" si="2"/>
        <v>0.32590000000000002</v>
      </c>
    </row>
    <row r="13" spans="1:9" ht="18.75" x14ac:dyDescent="0.25">
      <c r="A13" s="28">
        <v>10</v>
      </c>
      <c r="B13" s="55" t="s">
        <v>90</v>
      </c>
      <c r="C13" s="45" t="s">
        <v>433</v>
      </c>
      <c r="D13" s="427">
        <f t="shared" si="0"/>
        <v>45</v>
      </c>
      <c r="E13" s="1"/>
      <c r="F13" s="401">
        <f t="shared" si="1"/>
        <v>0</v>
      </c>
      <c r="H13" s="427">
        <v>35</v>
      </c>
      <c r="I13" s="482">
        <f t="shared" si="2"/>
        <v>0.32590000000000002</v>
      </c>
    </row>
    <row r="14" spans="1:9" ht="30" x14ac:dyDescent="0.25">
      <c r="A14" s="28">
        <v>11</v>
      </c>
      <c r="B14" s="408" t="s">
        <v>762</v>
      </c>
      <c r="C14" s="45" t="s">
        <v>433</v>
      </c>
      <c r="D14" s="692">
        <f t="shared" ref="D14:D20" si="3">MROUND((H14+H14*I14),10)</f>
        <v>990</v>
      </c>
      <c r="E14" s="1"/>
      <c r="F14" s="401">
        <f t="shared" si="1"/>
        <v>0</v>
      </c>
      <c r="H14" s="427">
        <v>750</v>
      </c>
      <c r="I14" s="482">
        <f t="shared" si="2"/>
        <v>0.32590000000000002</v>
      </c>
    </row>
    <row r="15" spans="1:9" ht="30" x14ac:dyDescent="0.25">
      <c r="A15" s="28">
        <v>12</v>
      </c>
      <c r="B15" s="690" t="s">
        <v>856</v>
      </c>
      <c r="C15" s="45" t="s">
        <v>35</v>
      </c>
      <c r="D15" s="427">
        <f t="shared" si="3"/>
        <v>930</v>
      </c>
      <c r="E15" s="1"/>
      <c r="F15" s="401">
        <f t="shared" si="1"/>
        <v>0</v>
      </c>
      <c r="H15" s="427">
        <v>700</v>
      </c>
      <c r="I15" s="482">
        <f>I13</f>
        <v>0.32590000000000002</v>
      </c>
    </row>
    <row r="16" spans="1:9" ht="30" x14ac:dyDescent="0.25">
      <c r="A16" s="28">
        <v>13</v>
      </c>
      <c r="B16" s="690" t="s">
        <v>598</v>
      </c>
      <c r="C16" s="45" t="s">
        <v>35</v>
      </c>
      <c r="D16" s="427">
        <f t="shared" si="3"/>
        <v>460</v>
      </c>
      <c r="E16" s="1"/>
      <c r="F16" s="401">
        <f t="shared" si="1"/>
        <v>0</v>
      </c>
      <c r="H16" s="427">
        <v>350</v>
      </c>
      <c r="I16" s="482">
        <f>I15</f>
        <v>0.32590000000000002</v>
      </c>
    </row>
    <row r="17" spans="1:9" ht="18.75" x14ac:dyDescent="0.25">
      <c r="A17" s="28">
        <v>14</v>
      </c>
      <c r="B17" s="212" t="s">
        <v>91</v>
      </c>
      <c r="C17" s="45" t="s">
        <v>12</v>
      </c>
      <c r="D17" s="427">
        <f t="shared" si="3"/>
        <v>950</v>
      </c>
      <c r="E17" s="1"/>
      <c r="F17" s="401">
        <f t="shared" si="1"/>
        <v>0</v>
      </c>
      <c r="H17" s="427">
        <v>720</v>
      </c>
      <c r="I17" s="482">
        <f t="shared" si="2"/>
        <v>0.32590000000000002</v>
      </c>
    </row>
    <row r="18" spans="1:9" ht="18.75" x14ac:dyDescent="0.25">
      <c r="A18" s="28">
        <v>15</v>
      </c>
      <c r="B18" s="212" t="s">
        <v>92</v>
      </c>
      <c r="C18" s="45" t="s">
        <v>12</v>
      </c>
      <c r="D18" s="427">
        <f t="shared" si="3"/>
        <v>530</v>
      </c>
      <c r="E18" s="1"/>
      <c r="F18" s="401">
        <f t="shared" si="1"/>
        <v>0</v>
      </c>
      <c r="H18" s="427">
        <v>400</v>
      </c>
      <c r="I18" s="482">
        <f t="shared" si="2"/>
        <v>0.32590000000000002</v>
      </c>
    </row>
    <row r="19" spans="1:9" ht="18.75" x14ac:dyDescent="0.25">
      <c r="A19" s="28">
        <v>16</v>
      </c>
      <c r="B19" s="25" t="s">
        <v>93</v>
      </c>
      <c r="C19" s="45" t="s">
        <v>12</v>
      </c>
      <c r="D19" s="427">
        <f t="shared" si="3"/>
        <v>730</v>
      </c>
      <c r="E19" s="1"/>
      <c r="F19" s="401">
        <f t="shared" si="1"/>
        <v>0</v>
      </c>
      <c r="H19" s="427">
        <v>550</v>
      </c>
      <c r="I19" s="482">
        <f t="shared" si="2"/>
        <v>0.32590000000000002</v>
      </c>
    </row>
    <row r="20" spans="1:9" ht="18.75" x14ac:dyDescent="0.25">
      <c r="A20" s="28">
        <v>17</v>
      </c>
      <c r="B20" s="26" t="s">
        <v>94</v>
      </c>
      <c r="C20" s="45" t="s">
        <v>12</v>
      </c>
      <c r="D20" s="427">
        <f t="shared" si="3"/>
        <v>460</v>
      </c>
      <c r="E20" s="1"/>
      <c r="F20" s="401">
        <f t="shared" si="1"/>
        <v>0</v>
      </c>
      <c r="H20" s="427">
        <v>350</v>
      </c>
      <c r="I20" s="482">
        <f t="shared" si="2"/>
        <v>0.32590000000000002</v>
      </c>
    </row>
    <row r="21" spans="1:9" x14ac:dyDescent="0.25">
      <c r="F21" s="403">
        <f>SUM(F4:F20)</f>
        <v>0</v>
      </c>
    </row>
    <row r="22" spans="1:9" ht="24" customHeight="1" x14ac:dyDescent="0.25">
      <c r="A22" s="858" t="s">
        <v>668</v>
      </c>
      <c r="B22" s="858"/>
      <c r="C22" s="858"/>
      <c r="D22" s="858"/>
    </row>
  </sheetData>
  <mergeCells count="2">
    <mergeCell ref="A2:D2"/>
    <mergeCell ref="A22:D22"/>
  </mergeCells>
  <phoneticPr fontId="17" alignment="center"/>
  <hyperlinks>
    <hyperlink ref="E2" location="СОДЕРЖАНИЕ!A1" display="назад к содержанию" xr:uid="{00000000-0004-0000-0900-000000000000}"/>
    <hyperlink ref="G2" location="Спасибо!A3" display="Спасибо!" xr:uid="{49E0D61A-EDC8-DC48-8BCA-7D42E60B2F9F}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>
      <selection activeCell="C31" sqref="C31"/>
    </sheetView>
  </sheetViews>
  <sheetFormatPr defaultRowHeight="15" x14ac:dyDescent="0.25"/>
  <cols>
    <col min="1" max="1" width="3.85546875" bestFit="1" customWidth="1"/>
    <col min="2" max="2" width="53.28515625" style="18" bestFit="1" customWidth="1"/>
    <col min="3" max="3" width="7.7109375" style="47" bestFit="1" customWidth="1"/>
    <col min="4" max="4" width="10.5703125" bestFit="1" customWidth="1"/>
    <col min="5" max="5" width="12.5703125" customWidth="1"/>
    <col min="8" max="9" width="0" hidden="1" customWidth="1"/>
  </cols>
  <sheetData>
    <row r="1" spans="1:9" ht="15.75" thickBot="1" x14ac:dyDescent="0.3">
      <c r="B1" s="755" t="str">
        <f>'1.9 Леса и сетки'!B1</f>
        <v>Актуально на 01 апреля 2022</v>
      </c>
    </row>
    <row r="2" spans="1:9" ht="45.75" thickBot="1" x14ac:dyDescent="0.3">
      <c r="A2" s="856" t="s">
        <v>100</v>
      </c>
      <c r="B2" s="856"/>
      <c r="C2" s="856"/>
      <c r="D2" s="857"/>
      <c r="E2" s="271" t="s">
        <v>302</v>
      </c>
      <c r="G2" s="579" t="s">
        <v>622</v>
      </c>
    </row>
    <row r="3" spans="1:9" ht="30" x14ac:dyDescent="0.25">
      <c r="A3" s="48" t="s">
        <v>1</v>
      </c>
      <c r="B3" s="49" t="s">
        <v>2</v>
      </c>
      <c r="C3" s="46" t="s">
        <v>3</v>
      </c>
      <c r="D3" s="433" t="s">
        <v>4</v>
      </c>
      <c r="E3" s="359" t="s">
        <v>507</v>
      </c>
      <c r="F3" s="1" t="s">
        <v>448</v>
      </c>
      <c r="G3" s="18"/>
    </row>
    <row r="4" spans="1:9" ht="30" x14ac:dyDescent="0.25">
      <c r="A4" s="28">
        <v>1</v>
      </c>
      <c r="B4" s="53" t="s">
        <v>101</v>
      </c>
      <c r="C4" s="45" t="s">
        <v>12</v>
      </c>
      <c r="D4" s="427">
        <f>MROUND((H4+H4*I4),5)</f>
        <v>240</v>
      </c>
      <c r="E4" s="1"/>
      <c r="F4" s="434">
        <f>D4*E4</f>
        <v>0</v>
      </c>
      <c r="H4" s="427">
        <v>180</v>
      </c>
      <c r="I4" s="482">
        <f>инфляция!A2</f>
        <v>0.32590000000000002</v>
      </c>
    </row>
    <row r="5" spans="1:9" ht="30" x14ac:dyDescent="0.25">
      <c r="A5" s="28">
        <v>2</v>
      </c>
      <c r="B5" s="53" t="s">
        <v>102</v>
      </c>
      <c r="C5" s="45" t="s">
        <v>12</v>
      </c>
      <c r="D5" s="427">
        <f t="shared" ref="D5:D9" si="0">MROUND((H5+H5*I5),5)</f>
        <v>305</v>
      </c>
      <c r="E5" s="1"/>
      <c r="F5" s="434">
        <f t="shared" ref="F5:F9" si="1">D5*E5</f>
        <v>0</v>
      </c>
      <c r="H5" s="427">
        <v>230</v>
      </c>
      <c r="I5" s="482">
        <f>I4</f>
        <v>0.32590000000000002</v>
      </c>
    </row>
    <row r="6" spans="1:9" ht="30" x14ac:dyDescent="0.25">
      <c r="A6" s="28">
        <v>3</v>
      </c>
      <c r="B6" s="54" t="s">
        <v>103</v>
      </c>
      <c r="C6" s="45" t="s">
        <v>12</v>
      </c>
      <c r="D6" s="427">
        <f t="shared" si="0"/>
        <v>360</v>
      </c>
      <c r="E6" s="1"/>
      <c r="F6" s="434">
        <f t="shared" si="1"/>
        <v>0</v>
      </c>
      <c r="H6" s="427">
        <v>270</v>
      </c>
      <c r="I6" s="482">
        <f t="shared" ref="I6:I9" si="2">I5</f>
        <v>0.32590000000000002</v>
      </c>
    </row>
    <row r="7" spans="1:9" ht="30" x14ac:dyDescent="0.25">
      <c r="A7" s="28">
        <v>4</v>
      </c>
      <c r="B7" s="54" t="s">
        <v>104</v>
      </c>
      <c r="C7" s="45" t="s">
        <v>12</v>
      </c>
      <c r="D7" s="427">
        <f t="shared" si="0"/>
        <v>475</v>
      </c>
      <c r="E7" s="1"/>
      <c r="F7" s="434">
        <f t="shared" si="1"/>
        <v>0</v>
      </c>
      <c r="H7" s="427">
        <v>360</v>
      </c>
      <c r="I7" s="482">
        <f t="shared" si="2"/>
        <v>0.32590000000000002</v>
      </c>
    </row>
    <row r="8" spans="1:9" ht="18.75" x14ac:dyDescent="0.25">
      <c r="A8" s="28">
        <v>5</v>
      </c>
      <c r="B8" s="56" t="s">
        <v>96</v>
      </c>
      <c r="C8" s="45" t="s">
        <v>12</v>
      </c>
      <c r="D8" s="427">
        <f t="shared" si="0"/>
        <v>160</v>
      </c>
      <c r="E8" s="1"/>
      <c r="F8" s="434">
        <f t="shared" si="1"/>
        <v>0</v>
      </c>
      <c r="H8" s="427">
        <v>120</v>
      </c>
      <c r="I8" s="482">
        <f t="shared" si="2"/>
        <v>0.32590000000000002</v>
      </c>
    </row>
    <row r="9" spans="1:9" ht="30" x14ac:dyDescent="0.25">
      <c r="A9" s="28">
        <v>6</v>
      </c>
      <c r="B9" s="55" t="s">
        <v>139</v>
      </c>
      <c r="C9" s="45" t="s">
        <v>12</v>
      </c>
      <c r="D9" s="427">
        <f t="shared" si="0"/>
        <v>795</v>
      </c>
      <c r="E9" s="1"/>
      <c r="F9" s="434">
        <f t="shared" si="1"/>
        <v>0</v>
      </c>
      <c r="H9" s="427">
        <v>600</v>
      </c>
      <c r="I9" s="482">
        <f t="shared" si="2"/>
        <v>0.32590000000000002</v>
      </c>
    </row>
    <row r="10" spans="1:9" x14ac:dyDescent="0.25">
      <c r="F10" s="435">
        <f>SUM(F4:F9)</f>
        <v>0</v>
      </c>
    </row>
    <row r="11" spans="1:9" x14ac:dyDescent="0.25">
      <c r="B11" s="51" t="s">
        <v>97</v>
      </c>
    </row>
    <row r="12" spans="1:9" x14ac:dyDescent="0.25">
      <c r="B12" s="52" t="s">
        <v>98</v>
      </c>
    </row>
    <row r="13" spans="1:9" x14ac:dyDescent="0.25">
      <c r="B13" s="52" t="s">
        <v>99</v>
      </c>
    </row>
    <row r="15" spans="1:9" x14ac:dyDescent="0.25">
      <c r="B15" s="18" t="s">
        <v>105</v>
      </c>
    </row>
    <row r="17" spans="1:4" ht="23.25" customHeight="1" x14ac:dyDescent="0.25">
      <c r="A17" s="858" t="s">
        <v>668</v>
      </c>
      <c r="B17" s="858"/>
      <c r="C17" s="858"/>
      <c r="D17" s="858"/>
    </row>
  </sheetData>
  <mergeCells count="2">
    <mergeCell ref="A2:D2"/>
    <mergeCell ref="A17:D17"/>
  </mergeCells>
  <dataValidations count="1">
    <dataValidation type="list" allowBlank="1" showInputMessage="1" showErrorMessage="1" sqref="H8" xr:uid="{00000000-0002-0000-0A00-000000000000}">
      <formula1>"120,130,140,150,160,170,180,190,200,210,220,230,240,250"</formula1>
    </dataValidation>
  </dataValidations>
  <hyperlinks>
    <hyperlink ref="E2" location="СОДЕРЖАНИЕ!A1" display="назад к содержанию" xr:uid="{00000000-0004-0000-0A00-000000000000}"/>
    <hyperlink ref="G2" location="Спасибо!A3" display="Спасибо!" xr:uid="{20122C79-CF80-814D-BF03-AC714C94247A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9"/>
  <sheetViews>
    <sheetView workbookViewId="0">
      <selection activeCell="B46" sqref="B46"/>
    </sheetView>
  </sheetViews>
  <sheetFormatPr defaultRowHeight="15" x14ac:dyDescent="0.25"/>
  <cols>
    <col min="1" max="1" width="3.85546875" bestFit="1" customWidth="1"/>
    <col min="2" max="2" width="53.28515625" style="18" bestFit="1" customWidth="1"/>
    <col min="3" max="3" width="7.7109375" style="47" bestFit="1" customWidth="1"/>
    <col min="4" max="4" width="15.140625" customWidth="1"/>
    <col min="5" max="5" width="13.140625" customWidth="1"/>
    <col min="8" max="9" width="0" hidden="1" customWidth="1"/>
  </cols>
  <sheetData>
    <row r="1" spans="1:9" ht="15.75" thickBot="1" x14ac:dyDescent="0.3">
      <c r="B1" s="755" t="str">
        <f>'1.10 Молдинги'!B1</f>
        <v>Актуально на 01 апреля 2022</v>
      </c>
    </row>
    <row r="2" spans="1:9" ht="30.75" thickBot="1" x14ac:dyDescent="0.3">
      <c r="A2" s="856" t="s">
        <v>106</v>
      </c>
      <c r="B2" s="856"/>
      <c r="C2" s="856"/>
      <c r="D2" s="857"/>
      <c r="E2" s="236" t="s">
        <v>302</v>
      </c>
      <c r="G2" s="579" t="s">
        <v>622</v>
      </c>
    </row>
    <row r="3" spans="1:9" x14ac:dyDescent="0.25">
      <c r="A3" s="48" t="s">
        <v>1</v>
      </c>
      <c r="B3" s="49" t="s">
        <v>2</v>
      </c>
      <c r="C3" s="46" t="s">
        <v>3</v>
      </c>
      <c r="D3" s="48" t="s">
        <v>4</v>
      </c>
      <c r="G3" s="18"/>
    </row>
    <row r="4" spans="1:9" ht="30" x14ac:dyDescent="0.25">
      <c r="A4" s="903" t="s">
        <v>107</v>
      </c>
      <c r="B4" s="904"/>
      <c r="C4" s="904"/>
      <c r="D4" s="904"/>
      <c r="E4" s="359" t="s">
        <v>507</v>
      </c>
      <c r="F4" s="1" t="s">
        <v>448</v>
      </c>
    </row>
    <row r="5" spans="1:9" ht="18.75" x14ac:dyDescent="0.25">
      <c r="A5" s="28">
        <v>1</v>
      </c>
      <c r="B5" s="58" t="s">
        <v>108</v>
      </c>
      <c r="C5" s="57" t="s">
        <v>433</v>
      </c>
      <c r="D5" s="436">
        <f>MROUND((H5+H5*I5),10)</f>
        <v>890</v>
      </c>
      <c r="E5" s="1"/>
      <c r="F5" s="434">
        <f>D5*E5</f>
        <v>0</v>
      </c>
      <c r="H5" s="436">
        <v>670</v>
      </c>
      <c r="I5" s="482">
        <f>инфляция!A2</f>
        <v>0.32590000000000002</v>
      </c>
    </row>
    <row r="6" spans="1:9" ht="18.75" x14ac:dyDescent="0.25">
      <c r="A6" s="28">
        <v>2</v>
      </c>
      <c r="B6" s="58" t="s">
        <v>109</v>
      </c>
      <c r="C6" s="57" t="s">
        <v>433</v>
      </c>
      <c r="D6" s="436">
        <f t="shared" ref="D6:D15" si="0">MROUND((H6+H6*I6),10)</f>
        <v>400</v>
      </c>
      <c r="E6" s="1"/>
      <c r="F6" s="434">
        <f t="shared" ref="F6:F27" si="1">D6*E6</f>
        <v>0</v>
      </c>
      <c r="H6" s="436">
        <v>305</v>
      </c>
      <c r="I6" s="482">
        <f>I5</f>
        <v>0.32590000000000002</v>
      </c>
    </row>
    <row r="7" spans="1:9" ht="18.75" x14ac:dyDescent="0.25">
      <c r="A7" s="28">
        <v>3</v>
      </c>
      <c r="B7" s="58" t="s">
        <v>110</v>
      </c>
      <c r="C7" s="57" t="s">
        <v>433</v>
      </c>
      <c r="D7" s="436">
        <f t="shared" si="0"/>
        <v>460</v>
      </c>
      <c r="E7" s="1"/>
      <c r="F7" s="434">
        <f t="shared" si="1"/>
        <v>0</v>
      </c>
      <c r="H7" s="436">
        <v>345</v>
      </c>
      <c r="I7" s="482">
        <f t="shared" ref="I7:I27" si="2">I6</f>
        <v>0.32590000000000002</v>
      </c>
    </row>
    <row r="8" spans="1:9" ht="18.75" x14ac:dyDescent="0.25">
      <c r="A8" s="28">
        <v>4</v>
      </c>
      <c r="B8" s="58" t="s">
        <v>111</v>
      </c>
      <c r="C8" s="57" t="s">
        <v>433</v>
      </c>
      <c r="D8" s="436">
        <f t="shared" si="0"/>
        <v>930</v>
      </c>
      <c r="E8" s="1"/>
      <c r="F8" s="434">
        <f t="shared" si="1"/>
        <v>0</v>
      </c>
      <c r="H8" s="436">
        <v>700</v>
      </c>
      <c r="I8" s="482">
        <f t="shared" si="2"/>
        <v>0.32590000000000002</v>
      </c>
    </row>
    <row r="9" spans="1:9" ht="18.75" x14ac:dyDescent="0.25">
      <c r="A9" s="28">
        <v>5</v>
      </c>
      <c r="B9" s="58" t="s">
        <v>112</v>
      </c>
      <c r="C9" s="57" t="s">
        <v>433</v>
      </c>
      <c r="D9" s="436">
        <f t="shared" si="0"/>
        <v>660</v>
      </c>
      <c r="E9" s="1"/>
      <c r="F9" s="434">
        <f t="shared" si="1"/>
        <v>0</v>
      </c>
      <c r="H9" s="436">
        <v>500</v>
      </c>
      <c r="I9" s="482">
        <f t="shared" si="2"/>
        <v>0.32590000000000002</v>
      </c>
    </row>
    <row r="10" spans="1:9" ht="18.75" x14ac:dyDescent="0.25">
      <c r="A10" s="28">
        <v>6</v>
      </c>
      <c r="B10" s="58" t="s">
        <v>113</v>
      </c>
      <c r="C10" s="57" t="s">
        <v>12</v>
      </c>
      <c r="D10" s="436">
        <f t="shared" si="0"/>
        <v>1260</v>
      </c>
      <c r="E10" s="1"/>
      <c r="F10" s="434">
        <f t="shared" si="1"/>
        <v>0</v>
      </c>
      <c r="H10" s="436">
        <v>950</v>
      </c>
      <c r="I10" s="482">
        <f t="shared" si="2"/>
        <v>0.32590000000000002</v>
      </c>
    </row>
    <row r="11" spans="1:9" ht="18.75" x14ac:dyDescent="0.25">
      <c r="A11" s="28">
        <v>7</v>
      </c>
      <c r="B11" s="58" t="s">
        <v>117</v>
      </c>
      <c r="C11" s="57" t="s">
        <v>12</v>
      </c>
      <c r="D11" s="436">
        <f t="shared" si="0"/>
        <v>640</v>
      </c>
      <c r="E11" s="1"/>
      <c r="F11" s="434">
        <f t="shared" si="1"/>
        <v>0</v>
      </c>
      <c r="H11" s="436">
        <v>480</v>
      </c>
      <c r="I11" s="482">
        <f t="shared" si="2"/>
        <v>0.32590000000000002</v>
      </c>
    </row>
    <row r="12" spans="1:9" ht="30" x14ac:dyDescent="0.25">
      <c r="A12" s="28">
        <v>8</v>
      </c>
      <c r="B12" s="58" t="s">
        <v>118</v>
      </c>
      <c r="C12" s="57" t="s">
        <v>12</v>
      </c>
      <c r="D12" s="436">
        <f t="shared" si="0"/>
        <v>650</v>
      </c>
      <c r="E12" s="1"/>
      <c r="F12" s="434">
        <f t="shared" si="1"/>
        <v>0</v>
      </c>
      <c r="H12" s="436">
        <v>490</v>
      </c>
      <c r="I12" s="482">
        <f t="shared" si="2"/>
        <v>0.32590000000000002</v>
      </c>
    </row>
    <row r="13" spans="1:9" ht="18.75" x14ac:dyDescent="0.25">
      <c r="A13" s="28">
        <v>9</v>
      </c>
      <c r="B13" s="58" t="s">
        <v>114</v>
      </c>
      <c r="C13" s="57" t="s">
        <v>12</v>
      </c>
      <c r="D13" s="436">
        <f t="shared" si="0"/>
        <v>290</v>
      </c>
      <c r="E13" s="1"/>
      <c r="F13" s="434">
        <f t="shared" si="1"/>
        <v>0</v>
      </c>
      <c r="H13" s="436">
        <v>215</v>
      </c>
      <c r="I13" s="482">
        <f t="shared" si="2"/>
        <v>0.32590000000000002</v>
      </c>
    </row>
    <row r="14" spans="1:9" ht="30" x14ac:dyDescent="0.25">
      <c r="A14" s="28">
        <v>10</v>
      </c>
      <c r="B14" s="58" t="s">
        <v>115</v>
      </c>
      <c r="C14" s="57" t="s">
        <v>35</v>
      </c>
      <c r="D14" s="436">
        <f t="shared" si="0"/>
        <v>530</v>
      </c>
      <c r="E14" s="1"/>
      <c r="F14" s="434">
        <f t="shared" si="1"/>
        <v>0</v>
      </c>
      <c r="H14" s="436">
        <v>400</v>
      </c>
      <c r="I14" s="482">
        <f t="shared" si="2"/>
        <v>0.32590000000000002</v>
      </c>
    </row>
    <row r="15" spans="1:9" ht="18.75" x14ac:dyDescent="0.25">
      <c r="A15" s="28">
        <v>11</v>
      </c>
      <c r="B15" s="58" t="s">
        <v>116</v>
      </c>
      <c r="C15" s="57" t="s">
        <v>35</v>
      </c>
      <c r="D15" s="436">
        <f t="shared" si="0"/>
        <v>600</v>
      </c>
      <c r="E15" s="1"/>
      <c r="F15" s="434">
        <f t="shared" si="1"/>
        <v>0</v>
      </c>
      <c r="H15" s="436">
        <v>450</v>
      </c>
      <c r="I15" s="482">
        <f t="shared" si="2"/>
        <v>0.32590000000000002</v>
      </c>
    </row>
    <row r="16" spans="1:9" ht="18.75" customHeight="1" x14ac:dyDescent="0.25">
      <c r="A16" s="905" t="s">
        <v>119</v>
      </c>
      <c r="B16" s="906"/>
      <c r="C16" s="906"/>
      <c r="D16" s="906"/>
      <c r="E16" s="906"/>
      <c r="F16" s="907"/>
      <c r="I16" s="482">
        <f t="shared" si="2"/>
        <v>0.32590000000000002</v>
      </c>
    </row>
    <row r="17" spans="1:9" ht="18.75" x14ac:dyDescent="0.25">
      <c r="A17" s="28">
        <v>12</v>
      </c>
      <c r="B17" s="59" t="s">
        <v>108</v>
      </c>
      <c r="C17" s="57" t="s">
        <v>433</v>
      </c>
      <c r="D17" s="436">
        <f>MROUND((H17+H17*I17),10)</f>
        <v>800</v>
      </c>
      <c r="E17" s="1"/>
      <c r="F17" s="434">
        <f t="shared" si="1"/>
        <v>0</v>
      </c>
      <c r="H17" s="436">
        <v>600</v>
      </c>
      <c r="I17" s="482">
        <f t="shared" si="2"/>
        <v>0.32590000000000002</v>
      </c>
    </row>
    <row r="18" spans="1:9" ht="18.75" x14ac:dyDescent="0.25">
      <c r="A18" s="28">
        <v>13</v>
      </c>
      <c r="B18" s="59" t="s">
        <v>109</v>
      </c>
      <c r="C18" s="57" t="s">
        <v>433</v>
      </c>
      <c r="D18" s="436">
        <f t="shared" ref="D18:D27" si="3">MROUND((H18+H18*I18),10)</f>
        <v>400</v>
      </c>
      <c r="E18" s="1"/>
      <c r="F18" s="434">
        <f t="shared" si="1"/>
        <v>0</v>
      </c>
      <c r="H18" s="436">
        <v>305</v>
      </c>
      <c r="I18" s="482">
        <f t="shared" si="2"/>
        <v>0.32590000000000002</v>
      </c>
    </row>
    <row r="19" spans="1:9" ht="18.75" x14ac:dyDescent="0.25">
      <c r="A19" s="28">
        <v>14</v>
      </c>
      <c r="B19" s="59" t="s">
        <v>110</v>
      </c>
      <c r="C19" s="57" t="s">
        <v>433</v>
      </c>
      <c r="D19" s="436">
        <f t="shared" si="3"/>
        <v>460</v>
      </c>
      <c r="E19" s="1"/>
      <c r="F19" s="434">
        <f t="shared" si="1"/>
        <v>0</v>
      </c>
      <c r="H19" s="436">
        <v>345</v>
      </c>
      <c r="I19" s="482">
        <f t="shared" si="2"/>
        <v>0.32590000000000002</v>
      </c>
    </row>
    <row r="20" spans="1:9" ht="18.75" x14ac:dyDescent="0.25">
      <c r="A20" s="28">
        <v>15</v>
      </c>
      <c r="B20" s="59" t="s">
        <v>120</v>
      </c>
      <c r="C20" s="57" t="s">
        <v>433</v>
      </c>
      <c r="D20" s="436">
        <f t="shared" si="3"/>
        <v>990</v>
      </c>
      <c r="E20" s="1"/>
      <c r="F20" s="434">
        <f t="shared" si="1"/>
        <v>0</v>
      </c>
      <c r="H20" s="436">
        <v>750</v>
      </c>
      <c r="I20" s="482">
        <f t="shared" si="2"/>
        <v>0.32590000000000002</v>
      </c>
    </row>
    <row r="21" spans="1:9" ht="18.75" x14ac:dyDescent="0.25">
      <c r="A21" s="28">
        <v>16</v>
      </c>
      <c r="B21" s="59" t="s">
        <v>121</v>
      </c>
      <c r="C21" s="57" t="s">
        <v>433</v>
      </c>
      <c r="D21" s="436">
        <f t="shared" si="3"/>
        <v>560</v>
      </c>
      <c r="E21" s="1"/>
      <c r="F21" s="434">
        <f t="shared" si="1"/>
        <v>0</v>
      </c>
      <c r="H21" s="436">
        <v>420</v>
      </c>
      <c r="I21" s="482">
        <f t="shared" si="2"/>
        <v>0.32590000000000002</v>
      </c>
    </row>
    <row r="22" spans="1:9" ht="18.75" x14ac:dyDescent="0.25">
      <c r="A22" s="28">
        <v>17</v>
      </c>
      <c r="B22" s="59" t="s">
        <v>122</v>
      </c>
      <c r="C22" s="57" t="s">
        <v>35</v>
      </c>
      <c r="D22" s="436">
        <f t="shared" si="3"/>
        <v>490</v>
      </c>
      <c r="E22" s="1"/>
      <c r="F22" s="434">
        <f t="shared" si="1"/>
        <v>0</v>
      </c>
      <c r="H22" s="436">
        <v>370</v>
      </c>
      <c r="I22" s="482">
        <f t="shared" si="2"/>
        <v>0.32590000000000002</v>
      </c>
    </row>
    <row r="23" spans="1:9" ht="18.75" x14ac:dyDescent="0.25">
      <c r="A23" s="28">
        <v>18</v>
      </c>
      <c r="B23" s="53" t="s">
        <v>123</v>
      </c>
      <c r="C23" s="57" t="s">
        <v>433</v>
      </c>
      <c r="D23" s="436">
        <f t="shared" si="3"/>
        <v>300</v>
      </c>
      <c r="E23" s="1"/>
      <c r="F23" s="434">
        <f t="shared" si="1"/>
        <v>0</v>
      </c>
      <c r="H23" s="436">
        <v>225</v>
      </c>
      <c r="I23" s="482">
        <f t="shared" si="2"/>
        <v>0.32590000000000002</v>
      </c>
    </row>
    <row r="24" spans="1:9" ht="18.75" x14ac:dyDescent="0.25">
      <c r="A24" s="28">
        <v>19</v>
      </c>
      <c r="B24" s="53" t="s">
        <v>124</v>
      </c>
      <c r="C24" s="57" t="s">
        <v>433</v>
      </c>
      <c r="D24" s="436">
        <f t="shared" si="3"/>
        <v>410</v>
      </c>
      <c r="E24" s="1"/>
      <c r="F24" s="434">
        <f t="shared" si="1"/>
        <v>0</v>
      </c>
      <c r="H24" s="436">
        <v>310</v>
      </c>
      <c r="I24" s="482">
        <f t="shared" si="2"/>
        <v>0.32590000000000002</v>
      </c>
    </row>
    <row r="25" spans="1:9" ht="30" x14ac:dyDescent="0.25">
      <c r="A25" s="28">
        <v>20</v>
      </c>
      <c r="B25" s="53" t="s">
        <v>125</v>
      </c>
      <c r="C25" s="57" t="s">
        <v>12</v>
      </c>
      <c r="D25" s="436">
        <f t="shared" si="3"/>
        <v>460</v>
      </c>
      <c r="E25" s="1"/>
      <c r="F25" s="434">
        <f t="shared" si="1"/>
        <v>0</v>
      </c>
      <c r="H25" s="436">
        <v>350</v>
      </c>
      <c r="I25" s="482">
        <f t="shared" si="2"/>
        <v>0.32590000000000002</v>
      </c>
    </row>
    <row r="26" spans="1:9" ht="18.75" x14ac:dyDescent="0.25">
      <c r="A26" s="28">
        <v>21</v>
      </c>
      <c r="B26" s="53" t="s">
        <v>126</v>
      </c>
      <c r="C26" s="57" t="s">
        <v>12</v>
      </c>
      <c r="D26" s="436">
        <f t="shared" si="3"/>
        <v>510</v>
      </c>
      <c r="E26" s="1"/>
      <c r="F26" s="434">
        <f t="shared" si="1"/>
        <v>0</v>
      </c>
      <c r="H26" s="436">
        <v>385</v>
      </c>
      <c r="I26" s="482">
        <f t="shared" si="2"/>
        <v>0.32590000000000002</v>
      </c>
    </row>
    <row r="27" spans="1:9" ht="18.75" x14ac:dyDescent="0.25">
      <c r="A27" s="28">
        <v>22</v>
      </c>
      <c r="B27" s="53" t="s">
        <v>127</v>
      </c>
      <c r="C27" s="57" t="s">
        <v>12</v>
      </c>
      <c r="D27" s="436">
        <f t="shared" si="3"/>
        <v>1060</v>
      </c>
      <c r="E27" s="1"/>
      <c r="F27" s="434">
        <f t="shared" si="1"/>
        <v>0</v>
      </c>
      <c r="H27" s="436">
        <v>800</v>
      </c>
      <c r="I27" s="482">
        <f t="shared" si="2"/>
        <v>0.32590000000000002</v>
      </c>
    </row>
    <row r="28" spans="1:9" x14ac:dyDescent="0.25">
      <c r="F28" s="435">
        <f>SUM(F5:F15,F17:F27)</f>
        <v>0</v>
      </c>
    </row>
    <row r="29" spans="1:9" ht="25.5" customHeight="1" x14ac:dyDescent="0.25">
      <c r="A29" s="858" t="s">
        <v>668</v>
      </c>
      <c r="B29" s="858"/>
      <c r="C29" s="858"/>
      <c r="D29" s="858"/>
    </row>
  </sheetData>
  <mergeCells count="4">
    <mergeCell ref="A2:D2"/>
    <mergeCell ref="A4:D4"/>
    <mergeCell ref="A16:F16"/>
    <mergeCell ref="A29:D29"/>
  </mergeCells>
  <hyperlinks>
    <hyperlink ref="E2" location="СОДЕРЖАНИЕ!A1" display="назад к содержанию" xr:uid="{00000000-0004-0000-0B00-000000000000}"/>
    <hyperlink ref="G2" location="Спасибо!A3" display="Спасибо!" xr:uid="{D8143B0E-E815-6841-A7ED-78787177E198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"/>
  <sheetViews>
    <sheetView workbookViewId="0">
      <selection activeCell="C33" sqref="C33"/>
    </sheetView>
  </sheetViews>
  <sheetFormatPr defaultRowHeight="15" x14ac:dyDescent="0.25"/>
  <cols>
    <col min="1" max="1" width="3.85546875" bestFit="1" customWidth="1"/>
    <col min="2" max="2" width="53.28515625" style="18" bestFit="1" customWidth="1"/>
    <col min="3" max="3" width="7.7109375" style="47" bestFit="1" customWidth="1"/>
    <col min="4" max="4" width="15.7109375" customWidth="1"/>
    <col min="5" max="5" width="12.85546875" customWidth="1"/>
    <col min="8" max="8" width="8.5703125" hidden="1" customWidth="1"/>
    <col min="9" max="9" width="9.7109375" hidden="1" customWidth="1"/>
  </cols>
  <sheetData>
    <row r="1" spans="1:9" ht="15.75" thickBot="1" x14ac:dyDescent="0.3">
      <c r="B1" s="755" t="str">
        <f>'2.1 ВЕНТФАСАДЫ'!B1</f>
        <v>Актуально на 01 апреля 2022</v>
      </c>
    </row>
    <row r="2" spans="1:9" ht="30.75" thickBot="1" x14ac:dyDescent="0.3">
      <c r="A2" s="908" t="s">
        <v>618</v>
      </c>
      <c r="B2" s="908"/>
      <c r="C2" s="908"/>
      <c r="D2" s="909"/>
      <c r="E2" s="236" t="s">
        <v>302</v>
      </c>
      <c r="G2" s="579" t="s">
        <v>622</v>
      </c>
    </row>
    <row r="3" spans="1:9" x14ac:dyDescent="0.25">
      <c r="A3" s="48" t="s">
        <v>1</v>
      </c>
      <c r="B3" s="49" t="s">
        <v>2</v>
      </c>
      <c r="C3" s="46" t="s">
        <v>3</v>
      </c>
      <c r="D3" s="48" t="s">
        <v>4</v>
      </c>
      <c r="G3" s="18"/>
    </row>
    <row r="4" spans="1:9" ht="30" x14ac:dyDescent="0.25">
      <c r="A4" s="910" t="s">
        <v>128</v>
      </c>
      <c r="B4" s="911"/>
      <c r="C4" s="911"/>
      <c r="D4" s="911"/>
      <c r="E4" s="359" t="s">
        <v>507</v>
      </c>
      <c r="F4" s="1" t="s">
        <v>448</v>
      </c>
      <c r="I4" s="482">
        <f>инфляция!A2</f>
        <v>0.32590000000000002</v>
      </c>
    </row>
    <row r="5" spans="1:9" ht="18.75" x14ac:dyDescent="0.25">
      <c r="A5" s="28">
        <v>1</v>
      </c>
      <c r="B5" s="43" t="s">
        <v>131</v>
      </c>
      <c r="C5" s="45" t="s">
        <v>12</v>
      </c>
      <c r="D5" s="427">
        <f t="shared" ref="D5:D8" si="0">MROUND((H5+H5*I5),5)</f>
        <v>200</v>
      </c>
      <c r="E5" s="1"/>
      <c r="F5" s="434">
        <f t="shared" ref="F5:F8" si="1">D5*E5</f>
        <v>0</v>
      </c>
      <c r="H5" s="427">
        <v>150</v>
      </c>
      <c r="I5" s="482">
        <f>I4</f>
        <v>0.32590000000000002</v>
      </c>
    </row>
    <row r="6" spans="1:9" ht="18.75" x14ac:dyDescent="0.25">
      <c r="A6" s="28">
        <v>2</v>
      </c>
      <c r="B6" s="43" t="s">
        <v>132</v>
      </c>
      <c r="C6" s="45" t="s">
        <v>35</v>
      </c>
      <c r="D6" s="427">
        <f t="shared" si="0"/>
        <v>475</v>
      </c>
      <c r="E6" s="1"/>
      <c r="F6" s="434">
        <f t="shared" si="1"/>
        <v>0</v>
      </c>
      <c r="H6" s="427">
        <v>360</v>
      </c>
      <c r="I6" s="482">
        <f t="shared" ref="I6:I15" si="2">I5</f>
        <v>0.32590000000000002</v>
      </c>
    </row>
    <row r="7" spans="1:9" ht="30" x14ac:dyDescent="0.25">
      <c r="A7" s="28">
        <v>3</v>
      </c>
      <c r="B7" s="43" t="s">
        <v>133</v>
      </c>
      <c r="C7" s="45" t="s">
        <v>12</v>
      </c>
      <c r="D7" s="427">
        <f t="shared" si="0"/>
        <v>290</v>
      </c>
      <c r="E7" s="1"/>
      <c r="F7" s="434">
        <f t="shared" si="1"/>
        <v>0</v>
      </c>
      <c r="H7" s="427">
        <v>220</v>
      </c>
      <c r="I7" s="482">
        <f t="shared" si="2"/>
        <v>0.32590000000000002</v>
      </c>
    </row>
    <row r="8" spans="1:9" ht="30" x14ac:dyDescent="0.25">
      <c r="A8" s="28">
        <v>4</v>
      </c>
      <c r="B8" s="43" t="s">
        <v>138</v>
      </c>
      <c r="C8" s="45" t="s">
        <v>12</v>
      </c>
      <c r="D8" s="427">
        <f t="shared" si="0"/>
        <v>625</v>
      </c>
      <c r="E8" s="1"/>
      <c r="F8" s="434">
        <f t="shared" si="1"/>
        <v>0</v>
      </c>
      <c r="H8" s="427">
        <v>470</v>
      </c>
      <c r="I8" s="482">
        <f t="shared" si="2"/>
        <v>0.32590000000000002</v>
      </c>
    </row>
    <row r="9" spans="1:9" ht="18.75" customHeight="1" x14ac:dyDescent="0.25">
      <c r="A9" s="916" t="s">
        <v>129</v>
      </c>
      <c r="B9" s="917"/>
      <c r="C9" s="917"/>
      <c r="D9" s="917"/>
      <c r="E9" s="917"/>
      <c r="F9" s="918"/>
      <c r="I9" s="482">
        <f t="shared" si="2"/>
        <v>0.32590000000000002</v>
      </c>
    </row>
    <row r="10" spans="1:9" ht="18.75" x14ac:dyDescent="0.25">
      <c r="A10" s="28">
        <v>5</v>
      </c>
      <c r="B10" s="53" t="s">
        <v>131</v>
      </c>
      <c r="C10" s="45" t="s">
        <v>12</v>
      </c>
      <c r="D10" s="427">
        <f>MROUND((H10+H10*I10),5)</f>
        <v>310</v>
      </c>
      <c r="E10" s="1"/>
      <c r="F10" s="434">
        <f>D10*E10</f>
        <v>0</v>
      </c>
      <c r="H10" s="427">
        <v>235</v>
      </c>
      <c r="I10" s="482">
        <f t="shared" si="2"/>
        <v>0.32590000000000002</v>
      </c>
    </row>
    <row r="11" spans="1:9" ht="18.75" x14ac:dyDescent="0.25">
      <c r="A11" s="28">
        <v>6</v>
      </c>
      <c r="B11" s="53" t="s">
        <v>132</v>
      </c>
      <c r="C11" s="45" t="s">
        <v>35</v>
      </c>
      <c r="D11" s="427">
        <f t="shared" ref="D11:D13" si="3">MROUND((H11+H11*I11),5)</f>
        <v>550</v>
      </c>
      <c r="E11" s="1"/>
      <c r="F11" s="434">
        <f t="shared" ref="F11:F13" si="4">D11*E11</f>
        <v>0</v>
      </c>
      <c r="H11" s="427">
        <v>415</v>
      </c>
      <c r="I11" s="482">
        <f t="shared" si="2"/>
        <v>0.32590000000000002</v>
      </c>
    </row>
    <row r="12" spans="1:9" ht="30" x14ac:dyDescent="0.25">
      <c r="A12" s="28">
        <v>7</v>
      </c>
      <c r="B12" s="53" t="s">
        <v>133</v>
      </c>
      <c r="C12" s="45" t="s">
        <v>12</v>
      </c>
      <c r="D12" s="427">
        <f t="shared" si="3"/>
        <v>330</v>
      </c>
      <c r="E12" s="1"/>
      <c r="F12" s="434">
        <f t="shared" si="4"/>
        <v>0</v>
      </c>
      <c r="H12" s="427">
        <v>250</v>
      </c>
      <c r="I12" s="482">
        <f t="shared" si="2"/>
        <v>0.32590000000000002</v>
      </c>
    </row>
    <row r="13" spans="1:9" ht="30" x14ac:dyDescent="0.25">
      <c r="A13" s="28">
        <v>8</v>
      </c>
      <c r="B13" s="53" t="s">
        <v>138</v>
      </c>
      <c r="C13" s="45" t="s">
        <v>12</v>
      </c>
      <c r="D13" s="427">
        <f t="shared" si="3"/>
        <v>710</v>
      </c>
      <c r="E13" s="1"/>
      <c r="F13" s="434">
        <f t="shared" si="4"/>
        <v>0</v>
      </c>
      <c r="H13" s="427">
        <v>535</v>
      </c>
      <c r="I13" s="482">
        <f t="shared" si="2"/>
        <v>0.32590000000000002</v>
      </c>
    </row>
    <row r="14" spans="1:9" ht="18.75" customHeight="1" x14ac:dyDescent="0.25">
      <c r="A14" s="912" t="s">
        <v>130</v>
      </c>
      <c r="B14" s="913"/>
      <c r="C14" s="913"/>
      <c r="D14" s="914"/>
      <c r="F14" s="435">
        <f>SUM(F5:F8,F10:F13)</f>
        <v>0</v>
      </c>
      <c r="I14" s="482">
        <f t="shared" si="2"/>
        <v>0.32590000000000002</v>
      </c>
    </row>
    <row r="15" spans="1:9" ht="18.75" x14ac:dyDescent="0.25">
      <c r="A15" s="28">
        <v>9</v>
      </c>
      <c r="B15" s="25" t="s">
        <v>134</v>
      </c>
      <c r="C15" s="45" t="s">
        <v>39</v>
      </c>
      <c r="D15" s="30">
        <f>MROUND((H15+H15*I15),100)</f>
        <v>8000</v>
      </c>
      <c r="H15" s="30">
        <f>'2.6 Ставки, коэффициенты'!I6</f>
        <v>6000</v>
      </c>
      <c r="I15" s="482">
        <f t="shared" si="2"/>
        <v>0.32590000000000002</v>
      </c>
    </row>
    <row r="17" spans="1:4" ht="31.5" customHeight="1" x14ac:dyDescent="0.25">
      <c r="A17" s="60" t="s">
        <v>135</v>
      </c>
      <c r="B17" s="915" t="s">
        <v>136</v>
      </c>
      <c r="C17" s="915"/>
      <c r="D17" s="915"/>
    </row>
    <row r="19" spans="1:4" ht="23.25" customHeight="1" x14ac:dyDescent="0.25">
      <c r="A19" s="858" t="s">
        <v>668</v>
      </c>
      <c r="B19" s="858"/>
      <c r="C19" s="858"/>
      <c r="D19" s="858"/>
    </row>
  </sheetData>
  <mergeCells count="6">
    <mergeCell ref="A19:D19"/>
    <mergeCell ref="A2:D2"/>
    <mergeCell ref="A4:D4"/>
    <mergeCell ref="A14:D14"/>
    <mergeCell ref="B17:D17"/>
    <mergeCell ref="A9:F9"/>
  </mergeCells>
  <hyperlinks>
    <hyperlink ref="E2" location="СОДЕРЖАНИЕ!A1" display="назад к содержанию" xr:uid="{00000000-0004-0000-0C00-000000000000}"/>
    <hyperlink ref="G2" location="Спасибо!A3" display="Спасибо!" xr:uid="{60D181BE-33C7-0D4F-869F-1928D12443F4}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5"/>
  <sheetViews>
    <sheetView workbookViewId="0">
      <selection activeCell="F1" sqref="F1:G1048576"/>
    </sheetView>
  </sheetViews>
  <sheetFormatPr defaultRowHeight="15" x14ac:dyDescent="0.25"/>
  <cols>
    <col min="1" max="1" width="3.85546875" style="15" bestFit="1" customWidth="1"/>
    <col min="2" max="2" width="53.28515625" style="64" bestFit="1" customWidth="1"/>
    <col min="3" max="3" width="11.140625" style="15" customWidth="1"/>
    <col min="4" max="4" width="16.42578125" style="15" customWidth="1"/>
    <col min="5" max="5" width="14.7109375" customWidth="1"/>
    <col min="6" max="6" width="10.140625" hidden="1" customWidth="1"/>
    <col min="7" max="7" width="8.5703125" hidden="1" customWidth="1"/>
  </cols>
  <sheetData>
    <row r="1" spans="1:8" ht="15.75" thickBot="1" x14ac:dyDescent="0.3">
      <c r="B1" s="754" t="str">
        <f>'2.2 Очистка водосточки'!B1</f>
        <v>Актуально на 01 апреля 2022</v>
      </c>
    </row>
    <row r="2" spans="1:8" ht="30.75" thickBot="1" x14ac:dyDescent="0.3">
      <c r="A2" s="856" t="s">
        <v>147</v>
      </c>
      <c r="B2" s="856"/>
      <c r="C2" s="856"/>
      <c r="D2" s="857"/>
      <c r="E2" s="236" t="s">
        <v>302</v>
      </c>
      <c r="H2" s="579" t="s">
        <v>622</v>
      </c>
    </row>
    <row r="3" spans="1:8" x14ac:dyDescent="0.25">
      <c r="A3" s="62" t="s">
        <v>1</v>
      </c>
      <c r="B3" s="65" t="s">
        <v>2</v>
      </c>
      <c r="C3" s="62" t="s">
        <v>3</v>
      </c>
      <c r="D3" s="62" t="s">
        <v>4</v>
      </c>
      <c r="H3" s="18"/>
    </row>
    <row r="4" spans="1:8" x14ac:dyDescent="0.25">
      <c r="A4" s="935" t="s">
        <v>695</v>
      </c>
      <c r="B4" s="936"/>
      <c r="C4" s="936"/>
      <c r="D4" s="937"/>
      <c r="H4" s="18"/>
    </row>
    <row r="5" spans="1:8" ht="18.75" customHeight="1" x14ac:dyDescent="0.35">
      <c r="A5" s="928" t="s">
        <v>140</v>
      </c>
      <c r="B5" s="929"/>
      <c r="C5" s="929"/>
      <c r="D5" s="930"/>
    </row>
    <row r="6" spans="1:8" ht="18.75" x14ac:dyDescent="0.25">
      <c r="A6" s="9">
        <v>1</v>
      </c>
      <c r="B6" s="661" t="s">
        <v>599</v>
      </c>
      <c r="C6" s="699" t="s">
        <v>141</v>
      </c>
      <c r="D6" s="700">
        <f>F6+F6*G6</f>
        <v>10.607200000000001</v>
      </c>
      <c r="F6" s="29">
        <v>8</v>
      </c>
      <c r="G6" s="482">
        <f>инфляция!A2</f>
        <v>0.32590000000000002</v>
      </c>
    </row>
    <row r="7" spans="1:8" ht="18.75" x14ac:dyDescent="0.25">
      <c r="A7" s="9">
        <v>2</v>
      </c>
      <c r="B7" s="63" t="s">
        <v>142</v>
      </c>
      <c r="C7" s="9" t="s">
        <v>39</v>
      </c>
      <c r="D7" s="67">
        <f>F7</f>
        <v>32000</v>
      </c>
      <c r="F7" s="67">
        <v>32000</v>
      </c>
      <c r="G7" s="482">
        <f>G6</f>
        <v>0.32590000000000002</v>
      </c>
    </row>
    <row r="8" spans="1:8" ht="45" x14ac:dyDescent="0.25">
      <c r="A8" s="9">
        <v>3</v>
      </c>
      <c r="B8" s="63" t="s">
        <v>672</v>
      </c>
      <c r="C8" s="9" t="s">
        <v>0</v>
      </c>
      <c r="D8" s="601">
        <f>F8+F8*G8</f>
        <v>21.214400000000001</v>
      </c>
      <c r="F8">
        <v>16</v>
      </c>
      <c r="G8" s="482">
        <f t="shared" ref="G8:G16" si="0">G7</f>
        <v>0.32590000000000002</v>
      </c>
    </row>
    <row r="9" spans="1:8" ht="45" x14ac:dyDescent="0.25">
      <c r="A9" s="9">
        <v>4</v>
      </c>
      <c r="B9" s="63" t="s">
        <v>148</v>
      </c>
      <c r="C9" s="9" t="s">
        <v>0</v>
      </c>
      <c r="D9" s="707">
        <v>25</v>
      </c>
      <c r="G9" s="482">
        <f t="shared" si="0"/>
        <v>0.32590000000000002</v>
      </c>
    </row>
    <row r="10" spans="1:8" ht="18.75" customHeight="1" x14ac:dyDescent="0.35">
      <c r="A10" s="928" t="s">
        <v>143</v>
      </c>
      <c r="B10" s="929"/>
      <c r="C10" s="929"/>
      <c r="D10" s="930"/>
      <c r="G10" s="482">
        <f t="shared" si="0"/>
        <v>0.32590000000000002</v>
      </c>
    </row>
    <row r="11" spans="1:8" ht="18.75" x14ac:dyDescent="0.25">
      <c r="A11" s="9">
        <v>5</v>
      </c>
      <c r="B11" s="661" t="s">
        <v>600</v>
      </c>
      <c r="C11" s="699" t="s">
        <v>141</v>
      </c>
      <c r="D11" s="700">
        <f>F11+F11*G11</f>
        <v>8.6183499999999995</v>
      </c>
      <c r="F11" s="66">
        <v>6.5</v>
      </c>
      <c r="G11" s="482">
        <f t="shared" si="0"/>
        <v>0.32590000000000002</v>
      </c>
    </row>
    <row r="12" spans="1:8" ht="18.75" x14ac:dyDescent="0.25">
      <c r="A12" s="9">
        <v>6</v>
      </c>
      <c r="B12" s="63" t="s">
        <v>144</v>
      </c>
      <c r="C12" s="9" t="s">
        <v>39</v>
      </c>
      <c r="D12" s="67">
        <f>F12</f>
        <v>32000</v>
      </c>
      <c r="F12" s="67">
        <v>32000</v>
      </c>
      <c r="G12" s="482">
        <f t="shared" si="0"/>
        <v>0.32590000000000002</v>
      </c>
    </row>
    <row r="13" spans="1:8" ht="45" x14ac:dyDescent="0.25">
      <c r="A13" s="9">
        <v>7</v>
      </c>
      <c r="B13" s="63" t="s">
        <v>671</v>
      </c>
      <c r="C13" s="9" t="s">
        <v>0</v>
      </c>
      <c r="D13" s="601">
        <f>F13+F13*G13</f>
        <v>17.236699999999999</v>
      </c>
      <c r="F13">
        <v>13</v>
      </c>
      <c r="G13" s="482">
        <f t="shared" si="0"/>
        <v>0.32590000000000002</v>
      </c>
    </row>
    <row r="14" spans="1:8" ht="45" x14ac:dyDescent="0.25">
      <c r="A14" s="9">
        <v>8</v>
      </c>
      <c r="B14" s="63" t="s">
        <v>149</v>
      </c>
      <c r="C14" s="9" t="s">
        <v>0</v>
      </c>
      <c r="D14" s="707">
        <v>25</v>
      </c>
      <c r="G14" s="482">
        <f t="shared" si="0"/>
        <v>0.32590000000000002</v>
      </c>
    </row>
    <row r="15" spans="1:8" ht="18.75" customHeight="1" x14ac:dyDescent="0.25">
      <c r="A15" s="931" t="s">
        <v>146</v>
      </c>
      <c r="B15" s="932"/>
      <c r="C15" s="932"/>
      <c r="D15" s="933"/>
      <c r="G15" s="482">
        <f t="shared" si="0"/>
        <v>0.32590000000000002</v>
      </c>
    </row>
    <row r="16" spans="1:8" ht="45" x14ac:dyDescent="0.25">
      <c r="A16" s="9">
        <v>9</v>
      </c>
      <c r="B16" s="701" t="s">
        <v>757</v>
      </c>
      <c r="C16" s="702" t="s">
        <v>35</v>
      </c>
      <c r="D16" s="703">
        <f>MROUND((F16+F16*G16),100)</f>
        <v>5300</v>
      </c>
      <c r="F16" s="29">
        <v>4000</v>
      </c>
      <c r="G16" s="482">
        <f t="shared" si="0"/>
        <v>0.32590000000000002</v>
      </c>
    </row>
    <row r="17" spans="1:7" ht="30" x14ac:dyDescent="0.25">
      <c r="A17" s="604">
        <v>10</v>
      </c>
      <c r="B17" s="704" t="s">
        <v>150</v>
      </c>
      <c r="C17" s="705" t="s">
        <v>145</v>
      </c>
      <c r="D17" s="706">
        <f>F17+F17*G17</f>
        <v>26.518000000000001</v>
      </c>
      <c r="F17" s="29">
        <v>20</v>
      </c>
      <c r="G17" s="482">
        <f>G16</f>
        <v>0.32590000000000002</v>
      </c>
    </row>
    <row r="18" spans="1:7" ht="45" x14ac:dyDescent="0.25">
      <c r="A18" s="68">
        <v>11</v>
      </c>
      <c r="B18" s="245" t="s">
        <v>673</v>
      </c>
      <c r="C18" s="68" t="s">
        <v>35</v>
      </c>
      <c r="D18" s="603">
        <f>MROUND((F18+F18*G18),5000)</f>
        <v>115000</v>
      </c>
      <c r="F18" s="602">
        <v>86000</v>
      </c>
      <c r="G18" s="482">
        <f>G17</f>
        <v>0.32590000000000002</v>
      </c>
    </row>
    <row r="19" spans="1:7" ht="18.75" x14ac:dyDescent="0.25">
      <c r="A19" s="438"/>
      <c r="B19" s="439"/>
      <c r="C19" s="438"/>
      <c r="D19" s="440"/>
    </row>
    <row r="20" spans="1:7" ht="18.75" customHeight="1" x14ac:dyDescent="0.25">
      <c r="A20" s="938" t="s">
        <v>813</v>
      </c>
      <c r="B20" s="938"/>
      <c r="C20" s="938"/>
      <c r="D20" s="938"/>
    </row>
    <row r="21" spans="1:7" ht="30" x14ac:dyDescent="0.25">
      <c r="A21" s="505">
        <v>12</v>
      </c>
      <c r="B21" s="749" t="s">
        <v>814</v>
      </c>
      <c r="C21" s="505" t="s">
        <v>12</v>
      </c>
      <c r="D21" s="750">
        <f>D6/3</f>
        <v>3.5357333333333334</v>
      </c>
    </row>
    <row r="22" spans="1:7" ht="30" x14ac:dyDescent="0.25">
      <c r="A22" s="505">
        <v>13</v>
      </c>
      <c r="B22" s="749" t="s">
        <v>815</v>
      </c>
      <c r="C22" s="505" t="s">
        <v>12</v>
      </c>
      <c r="D22" s="750">
        <f>D11/3</f>
        <v>2.872783333333333</v>
      </c>
    </row>
    <row r="23" spans="1:7" ht="75" x14ac:dyDescent="0.25">
      <c r="A23" s="68">
        <v>14</v>
      </c>
      <c r="B23" s="245" t="s">
        <v>812</v>
      </c>
      <c r="C23" s="68" t="s">
        <v>703</v>
      </c>
      <c r="D23" s="751">
        <v>2</v>
      </c>
    </row>
    <row r="24" spans="1:7" ht="18.75" x14ac:dyDescent="0.25">
      <c r="A24" s="438"/>
      <c r="B24" s="439"/>
      <c r="C24" s="438"/>
      <c r="D24" s="440"/>
    </row>
    <row r="25" spans="1:7" ht="18.75" customHeight="1" x14ac:dyDescent="0.25">
      <c r="A25" s="858" t="s">
        <v>668</v>
      </c>
      <c r="B25" s="858"/>
      <c r="C25" s="858"/>
      <c r="D25" s="858"/>
    </row>
    <row r="26" spans="1:7" ht="19.5" thickBot="1" x14ac:dyDescent="0.3">
      <c r="A26" s="438"/>
      <c r="B26" s="439"/>
      <c r="C26" s="438"/>
      <c r="D26" s="440"/>
    </row>
    <row r="27" spans="1:7" ht="18" customHeight="1" thickBot="1" x14ac:dyDescent="0.3">
      <c r="A27" s="438"/>
      <c r="B27" s="925" t="s">
        <v>506</v>
      </c>
      <c r="C27" s="926"/>
      <c r="D27" s="926"/>
      <c r="E27" s="927"/>
    </row>
    <row r="28" spans="1:7" x14ac:dyDescent="0.25">
      <c r="B28" s="934" t="s">
        <v>518</v>
      </c>
      <c r="C28" s="934"/>
      <c r="D28" s="934"/>
      <c r="E28" s="452" t="s">
        <v>520</v>
      </c>
    </row>
    <row r="29" spans="1:7" ht="75" x14ac:dyDescent="0.25">
      <c r="B29" s="442" t="s">
        <v>519</v>
      </c>
      <c r="C29" s="443" t="s">
        <v>516</v>
      </c>
      <c r="D29" s="441" t="s">
        <v>517</v>
      </c>
      <c r="E29" s="444" t="s">
        <v>522</v>
      </c>
    </row>
    <row r="30" spans="1:7" ht="15.75" thickBot="1" x14ac:dyDescent="0.3">
      <c r="B30" s="453">
        <v>300</v>
      </c>
      <c r="C30" s="454">
        <v>20</v>
      </c>
      <c r="D30" s="450" t="s">
        <v>670</v>
      </c>
      <c r="E30" s="451" t="s">
        <v>670</v>
      </c>
    </row>
    <row r="31" spans="1:7" ht="37.5" customHeight="1" x14ac:dyDescent="0.25">
      <c r="B31" s="445" t="s">
        <v>521</v>
      </c>
      <c r="C31" s="919">
        <f>MROUND(B33,100)</f>
        <v>63600</v>
      </c>
      <c r="D31" s="920"/>
      <c r="E31" s="921"/>
    </row>
    <row r="32" spans="1:7" ht="15.75" thickBot="1" x14ac:dyDescent="0.3">
      <c r="B32" s="449" t="s">
        <v>670</v>
      </c>
      <c r="C32" s="922"/>
      <c r="D32" s="923"/>
      <c r="E32" s="924"/>
    </row>
    <row r="33" spans="2:5" ht="15.75" hidden="1" thickBot="1" x14ac:dyDescent="0.3">
      <c r="B33" s="448">
        <f>IF(D33&lt;D7,D7,IF(D33&gt;=D7,D33,IF(D33=0,0,"")))</f>
        <v>63643.200000000004</v>
      </c>
      <c r="D33" s="447">
        <f>B30*C30*E33*D34*D35+E34+B34</f>
        <v>63643.200000000004</v>
      </c>
      <c r="E33" s="605">
        <f>IF(E28="ПОДЪЁМ ГРУЗА",D6,IF(E28="СПУСК ГРУЗА",D11,""))</f>
        <v>10.607200000000001</v>
      </c>
    </row>
    <row r="34" spans="2:5" hidden="1" x14ac:dyDescent="0.25">
      <c r="B34" s="437">
        <f>IF(B32="ДА",D18,IF(B32="НЕТ",0,""))</f>
        <v>0</v>
      </c>
      <c r="D34" s="446">
        <f>IF(D30="ДА",1.25,IF(D30="НЕТ",1,""))</f>
        <v>1</v>
      </c>
      <c r="E34" s="1">
        <f>IF(E30="ДА",D16,IF(E30="НЕТ",0,""))</f>
        <v>0</v>
      </c>
    </row>
    <row r="35" spans="2:5" hidden="1" x14ac:dyDescent="0.25">
      <c r="D35" s="15">
        <f>IF(B32="ДА",2,IF(B32="НЕТ",1,""))</f>
        <v>1</v>
      </c>
    </row>
  </sheetData>
  <mergeCells count="10">
    <mergeCell ref="C31:E32"/>
    <mergeCell ref="B27:E27"/>
    <mergeCell ref="A2:D2"/>
    <mergeCell ref="A5:D5"/>
    <mergeCell ref="A10:D10"/>
    <mergeCell ref="A15:D15"/>
    <mergeCell ref="B28:D28"/>
    <mergeCell ref="A25:D25"/>
    <mergeCell ref="A4:D4"/>
    <mergeCell ref="A20:D20"/>
  </mergeCells>
  <phoneticPr fontId="17" alignment="center"/>
  <dataValidations count="3">
    <dataValidation type="list" allowBlank="1" showInputMessage="1" showErrorMessage="1" sqref="D30:E30 B32" xr:uid="{00000000-0002-0000-0D00-000000000000}">
      <formula1>"ДА,НЕТ"</formula1>
    </dataValidation>
    <dataValidation type="list" allowBlank="1" showInputMessage="1" showErrorMessage="1" sqref="E28" xr:uid="{00000000-0002-0000-0D00-000001000000}">
      <formula1>"ПОДЪЁМ ГРУЗА,СПУСК ГРУЗА"</formula1>
    </dataValidation>
    <dataValidation type="list" allowBlank="1" showInputMessage="1" showErrorMessage="1" sqref="C30" xr:uid="{00000000-0002-0000-0D00-000002000000}">
      <formula1>"1,2,3,4,5,6,7,8,9,10,11,12,13,14,15,16,17,18,19,20,21,22,23,24,25,26,27,28,29,30,31,32,33,34,35"</formula1>
    </dataValidation>
  </dataValidations>
  <hyperlinks>
    <hyperlink ref="E2" location="СОДЕРЖАНИЕ!A1" display="назад к содержанию" xr:uid="{00000000-0004-0000-0D00-000000000000}"/>
    <hyperlink ref="H2" location="Спасибо!A3" display="Спасибо!" xr:uid="{12BD674C-EFB6-FE45-84F5-798E337F74CD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9"/>
  <sheetViews>
    <sheetView workbookViewId="0">
      <selection activeCell="F38" sqref="F38"/>
    </sheetView>
  </sheetViews>
  <sheetFormatPr defaultRowHeight="15" x14ac:dyDescent="0.25"/>
  <cols>
    <col min="1" max="1" width="3.85546875" bestFit="1" customWidth="1"/>
    <col min="2" max="2" width="32" style="18" customWidth="1"/>
    <col min="3" max="3" width="7.7109375" bestFit="1" customWidth="1"/>
    <col min="4" max="4" width="12.5703125" bestFit="1" customWidth="1"/>
    <col min="5" max="5" width="12" bestFit="1" customWidth="1"/>
    <col min="6" max="6" width="12.5703125" bestFit="1" customWidth="1"/>
    <col min="7" max="7" width="12" bestFit="1" customWidth="1"/>
    <col min="8" max="8" width="13.5703125" customWidth="1"/>
    <col min="9" max="12" width="10.42578125" hidden="1" customWidth="1"/>
    <col min="13" max="13" width="8.5703125" hidden="1" customWidth="1"/>
  </cols>
  <sheetData>
    <row r="1" spans="1:14" ht="15.75" thickBot="1" x14ac:dyDescent="0.3">
      <c r="B1" s="755" t="str">
        <f>'2.3 Такелажные работы'!B1</f>
        <v>Актуально на 01 апреля 2022</v>
      </c>
    </row>
    <row r="2" spans="1:14" ht="30.75" thickBot="1" x14ac:dyDescent="0.3">
      <c r="A2" s="945" t="s">
        <v>151</v>
      </c>
      <c r="B2" s="946"/>
      <c r="C2" s="947"/>
      <c r="D2" s="947"/>
      <c r="E2" s="947"/>
      <c r="F2" s="947"/>
      <c r="G2" s="948"/>
      <c r="H2" s="236" t="s">
        <v>302</v>
      </c>
      <c r="N2" s="579" t="s">
        <v>622</v>
      </c>
    </row>
    <row r="3" spans="1:14" ht="15" customHeight="1" x14ac:dyDescent="0.25">
      <c r="A3" s="958" t="s">
        <v>1</v>
      </c>
      <c r="B3" s="956" t="s">
        <v>2</v>
      </c>
      <c r="C3" s="955" t="s">
        <v>3</v>
      </c>
      <c r="D3" s="949" t="s">
        <v>4</v>
      </c>
      <c r="E3" s="949"/>
      <c r="F3" s="949"/>
      <c r="G3" s="949"/>
      <c r="N3" s="18"/>
    </row>
    <row r="4" spans="1:14" ht="15" customHeight="1" thickBot="1" x14ac:dyDescent="0.3">
      <c r="A4" s="958"/>
      <c r="B4" s="956"/>
      <c r="C4" s="955"/>
      <c r="D4" s="950" t="s">
        <v>152</v>
      </c>
      <c r="E4" s="950"/>
      <c r="F4" s="950"/>
      <c r="G4" s="950"/>
    </row>
    <row r="5" spans="1:14" ht="21.75" customHeight="1" thickTop="1" x14ac:dyDescent="0.25">
      <c r="A5" s="958"/>
      <c r="B5" s="956"/>
      <c r="C5" s="897"/>
      <c r="D5" s="951" t="s">
        <v>166</v>
      </c>
      <c r="E5" s="952"/>
      <c r="F5" s="953" t="s">
        <v>167</v>
      </c>
      <c r="G5" s="954"/>
    </row>
    <row r="6" spans="1:14" ht="21.75" customHeight="1" x14ac:dyDescent="0.25">
      <c r="A6" s="959"/>
      <c r="B6" s="957"/>
      <c r="C6" s="898"/>
      <c r="D6" s="87" t="s">
        <v>154</v>
      </c>
      <c r="E6" s="96" t="s">
        <v>155</v>
      </c>
      <c r="F6" s="90" t="s">
        <v>154</v>
      </c>
      <c r="G6" s="91" t="s">
        <v>155</v>
      </c>
    </row>
    <row r="7" spans="1:14" ht="40.5" customHeight="1" x14ac:dyDescent="0.25">
      <c r="A7" s="70">
        <v>1</v>
      </c>
      <c r="B7" s="80" t="s">
        <v>157</v>
      </c>
      <c r="C7" s="75" t="s">
        <v>433</v>
      </c>
      <c r="D7" s="88">
        <f>MROUND((I7+I7*M7),10)</f>
        <v>460</v>
      </c>
      <c r="E7" s="97">
        <f>MROUND((J7+J7*M7),10)</f>
        <v>400</v>
      </c>
      <c r="F7" s="92">
        <f>MROUND((K7+K7*M7),10)</f>
        <v>570</v>
      </c>
      <c r="G7" s="93">
        <f>MROUND((L7+L7*M7),10)</f>
        <v>500</v>
      </c>
      <c r="I7" s="88">
        <v>350</v>
      </c>
      <c r="J7" s="97">
        <v>300</v>
      </c>
      <c r="K7" s="92">
        <v>430</v>
      </c>
      <c r="L7" s="93">
        <v>380</v>
      </c>
      <c r="M7" s="482">
        <f>инфляция!A2</f>
        <v>0.32590000000000002</v>
      </c>
    </row>
    <row r="8" spans="1:14" ht="40.5" customHeight="1" x14ac:dyDescent="0.25">
      <c r="A8" s="70">
        <v>2</v>
      </c>
      <c r="B8" s="80" t="s">
        <v>158</v>
      </c>
      <c r="C8" s="75" t="s">
        <v>433</v>
      </c>
      <c r="D8" s="88">
        <f t="shared" ref="D8:D14" si="0">MROUND((I8+I8*M8),10)</f>
        <v>500</v>
      </c>
      <c r="E8" s="97">
        <f t="shared" ref="E8:E14" si="1">MROUND((J8+J8*M8),10)</f>
        <v>440</v>
      </c>
      <c r="F8" s="92">
        <f t="shared" ref="F8:F14" si="2">MROUND((K8+K8*M8),10)</f>
        <v>620</v>
      </c>
      <c r="G8" s="93">
        <f t="shared" ref="G8:G14" si="3">MROUND((L8+L8*M8),10)</f>
        <v>560</v>
      </c>
      <c r="I8" s="88">
        <v>380</v>
      </c>
      <c r="J8" s="97">
        <v>330</v>
      </c>
      <c r="K8" s="92">
        <v>470</v>
      </c>
      <c r="L8" s="93">
        <v>420</v>
      </c>
      <c r="M8" s="482">
        <f>M7</f>
        <v>0.32590000000000002</v>
      </c>
    </row>
    <row r="9" spans="1:14" ht="38.25" customHeight="1" x14ac:dyDescent="0.25">
      <c r="A9" s="70">
        <v>3</v>
      </c>
      <c r="B9" s="80" t="s">
        <v>159</v>
      </c>
      <c r="C9" s="75" t="s">
        <v>433</v>
      </c>
      <c r="D9" s="88">
        <f t="shared" si="0"/>
        <v>530</v>
      </c>
      <c r="E9" s="97">
        <f t="shared" si="1"/>
        <v>460</v>
      </c>
      <c r="F9" s="92">
        <f t="shared" si="2"/>
        <v>660</v>
      </c>
      <c r="G9" s="93">
        <f t="shared" si="3"/>
        <v>600</v>
      </c>
      <c r="I9" s="88">
        <v>400</v>
      </c>
      <c r="J9" s="97">
        <v>350</v>
      </c>
      <c r="K9" s="92">
        <v>500</v>
      </c>
      <c r="L9" s="93">
        <f t="shared" ref="L9" si="4">K9*0.9</f>
        <v>450</v>
      </c>
      <c r="M9" s="482">
        <f t="shared" ref="M9:M23" si="5">M8</f>
        <v>0.32590000000000002</v>
      </c>
    </row>
    <row r="10" spans="1:14" ht="38.25" customHeight="1" x14ac:dyDescent="0.25">
      <c r="A10" s="70">
        <v>4</v>
      </c>
      <c r="B10" s="80" t="s">
        <v>160</v>
      </c>
      <c r="C10" s="75" t="s">
        <v>433</v>
      </c>
      <c r="D10" s="88">
        <f t="shared" si="0"/>
        <v>550</v>
      </c>
      <c r="E10" s="97">
        <f t="shared" si="1"/>
        <v>490</v>
      </c>
      <c r="F10" s="92">
        <f t="shared" si="2"/>
        <v>690</v>
      </c>
      <c r="G10" s="93">
        <f t="shared" si="3"/>
        <v>620</v>
      </c>
      <c r="I10" s="88">
        <v>415</v>
      </c>
      <c r="J10" s="97">
        <v>370</v>
      </c>
      <c r="K10" s="92">
        <v>520</v>
      </c>
      <c r="L10" s="93">
        <v>470</v>
      </c>
      <c r="M10" s="482">
        <f t="shared" si="5"/>
        <v>0.32590000000000002</v>
      </c>
    </row>
    <row r="11" spans="1:14" ht="43.5" customHeight="1" x14ac:dyDescent="0.25">
      <c r="A11" s="70">
        <v>5</v>
      </c>
      <c r="B11" s="80" t="s">
        <v>161</v>
      </c>
      <c r="C11" s="75" t="s">
        <v>433</v>
      </c>
      <c r="D11" s="88">
        <f t="shared" si="0"/>
        <v>580</v>
      </c>
      <c r="E11" s="97">
        <f t="shared" si="1"/>
        <v>520</v>
      </c>
      <c r="F11" s="92">
        <f t="shared" si="2"/>
        <v>730</v>
      </c>
      <c r="G11" s="93">
        <f t="shared" si="3"/>
        <v>650</v>
      </c>
      <c r="I11" s="88">
        <v>440</v>
      </c>
      <c r="J11" s="97">
        <v>390</v>
      </c>
      <c r="K11" s="92">
        <v>550</v>
      </c>
      <c r="L11" s="93">
        <v>490</v>
      </c>
      <c r="M11" s="482">
        <f t="shared" si="5"/>
        <v>0.32590000000000002</v>
      </c>
    </row>
    <row r="12" spans="1:14" ht="43.5" customHeight="1" x14ac:dyDescent="0.25">
      <c r="A12" s="70">
        <v>6</v>
      </c>
      <c r="B12" s="80" t="s">
        <v>162</v>
      </c>
      <c r="C12" s="75" t="s">
        <v>433</v>
      </c>
      <c r="D12" s="88">
        <f t="shared" si="0"/>
        <v>620</v>
      </c>
      <c r="E12" s="97">
        <f t="shared" si="1"/>
        <v>560</v>
      </c>
      <c r="F12" s="92">
        <f t="shared" si="2"/>
        <v>770</v>
      </c>
      <c r="G12" s="93">
        <f t="shared" si="3"/>
        <v>690</v>
      </c>
      <c r="I12" s="88">
        <v>470</v>
      </c>
      <c r="J12" s="97">
        <v>420</v>
      </c>
      <c r="K12" s="92">
        <v>580</v>
      </c>
      <c r="L12" s="93">
        <v>520</v>
      </c>
      <c r="M12" s="482">
        <f t="shared" si="5"/>
        <v>0.32590000000000002</v>
      </c>
    </row>
    <row r="13" spans="1:14" ht="43.5" customHeight="1" x14ac:dyDescent="0.25">
      <c r="A13" s="70">
        <v>7</v>
      </c>
      <c r="B13" s="80" t="s">
        <v>163</v>
      </c>
      <c r="C13" s="75" t="s">
        <v>433</v>
      </c>
      <c r="D13" s="88">
        <f t="shared" si="0"/>
        <v>650</v>
      </c>
      <c r="E13" s="97">
        <f t="shared" si="1"/>
        <v>580</v>
      </c>
      <c r="F13" s="92">
        <f t="shared" si="2"/>
        <v>810</v>
      </c>
      <c r="G13" s="93">
        <f t="shared" si="3"/>
        <v>720</v>
      </c>
      <c r="I13" s="88">
        <v>490</v>
      </c>
      <c r="J13" s="97">
        <v>440</v>
      </c>
      <c r="K13" s="92">
        <v>610</v>
      </c>
      <c r="L13" s="93">
        <v>540</v>
      </c>
      <c r="M13" s="482">
        <f t="shared" si="5"/>
        <v>0.32590000000000002</v>
      </c>
    </row>
    <row r="14" spans="1:14" ht="46.5" customHeight="1" thickBot="1" x14ac:dyDescent="0.3">
      <c r="A14" s="70">
        <v>8</v>
      </c>
      <c r="B14" s="80" t="s">
        <v>164</v>
      </c>
      <c r="C14" s="75" t="s">
        <v>433</v>
      </c>
      <c r="D14" s="88">
        <f t="shared" si="0"/>
        <v>710</v>
      </c>
      <c r="E14" s="97">
        <f t="shared" si="1"/>
        <v>640</v>
      </c>
      <c r="F14" s="92">
        <f t="shared" si="2"/>
        <v>860</v>
      </c>
      <c r="G14" s="93">
        <f t="shared" si="3"/>
        <v>770</v>
      </c>
      <c r="I14" s="89">
        <v>535</v>
      </c>
      <c r="J14" s="98">
        <f>480</f>
        <v>480</v>
      </c>
      <c r="K14" s="94">
        <v>650</v>
      </c>
      <c r="L14" s="95">
        <v>580</v>
      </c>
      <c r="M14" s="482">
        <f t="shared" si="5"/>
        <v>0.32590000000000002</v>
      </c>
    </row>
    <row r="15" spans="1:14" ht="37.5" customHeight="1" thickTop="1" x14ac:dyDescent="0.25">
      <c r="A15" s="72">
        <v>9</v>
      </c>
      <c r="B15" s="721" t="s">
        <v>169</v>
      </c>
      <c r="C15" s="722" t="s">
        <v>703</v>
      </c>
      <c r="D15" s="960">
        <v>0.6</v>
      </c>
      <c r="E15" s="961"/>
      <c r="F15" s="961"/>
      <c r="G15" s="962"/>
      <c r="M15" s="482">
        <f t="shared" si="5"/>
        <v>0.32590000000000002</v>
      </c>
    </row>
    <row r="16" spans="1:14" ht="46.5" customHeight="1" x14ac:dyDescent="0.25">
      <c r="A16" s="70">
        <v>10</v>
      </c>
      <c r="B16" s="81" t="s">
        <v>153</v>
      </c>
      <c r="C16" s="76" t="s">
        <v>433</v>
      </c>
      <c r="D16" s="939">
        <f>MROUND((I16+I16*M16),10)</f>
        <v>450</v>
      </c>
      <c r="E16" s="940"/>
      <c r="F16" s="940"/>
      <c r="G16" s="941"/>
      <c r="I16" s="939">
        <v>340</v>
      </c>
      <c r="J16" s="940"/>
      <c r="K16" s="940"/>
      <c r="L16" s="941"/>
      <c r="M16" s="482">
        <f t="shared" si="5"/>
        <v>0.32590000000000002</v>
      </c>
    </row>
    <row r="17" spans="1:13" ht="48.75" customHeight="1" x14ac:dyDescent="0.25">
      <c r="A17" s="72">
        <v>11</v>
      </c>
      <c r="B17" s="82" t="s">
        <v>857</v>
      </c>
      <c r="C17" s="77" t="s">
        <v>558</v>
      </c>
      <c r="D17" s="939">
        <f t="shared" ref="D17:D20" si="6">MROUND((I17+I17*M17),10)</f>
        <v>290</v>
      </c>
      <c r="E17" s="940"/>
      <c r="F17" s="940"/>
      <c r="G17" s="941"/>
      <c r="I17" s="966">
        <v>220</v>
      </c>
      <c r="J17" s="966"/>
      <c r="K17" s="966"/>
      <c r="L17" s="966"/>
      <c r="M17" s="482">
        <f t="shared" si="5"/>
        <v>0.32590000000000002</v>
      </c>
    </row>
    <row r="18" spans="1:13" ht="31.5" customHeight="1" x14ac:dyDescent="0.25">
      <c r="A18" s="70">
        <v>12</v>
      </c>
      <c r="B18" s="82" t="s">
        <v>165</v>
      </c>
      <c r="C18" s="77" t="s">
        <v>558</v>
      </c>
      <c r="D18" s="939">
        <f t="shared" si="6"/>
        <v>200</v>
      </c>
      <c r="E18" s="940"/>
      <c r="F18" s="940"/>
      <c r="G18" s="941"/>
      <c r="I18" s="967">
        <v>150</v>
      </c>
      <c r="J18" s="968"/>
      <c r="K18" s="968"/>
      <c r="L18" s="969"/>
      <c r="M18" s="482">
        <f t="shared" si="5"/>
        <v>0.32590000000000002</v>
      </c>
    </row>
    <row r="19" spans="1:13" ht="90" x14ac:dyDescent="0.25">
      <c r="A19" s="72">
        <v>13</v>
      </c>
      <c r="B19" s="83" t="s">
        <v>771</v>
      </c>
      <c r="C19" s="78" t="s">
        <v>12</v>
      </c>
      <c r="D19" s="939">
        <f t="shared" si="6"/>
        <v>1210</v>
      </c>
      <c r="E19" s="940"/>
      <c r="F19" s="940"/>
      <c r="G19" s="941"/>
      <c r="I19" s="970">
        <v>910</v>
      </c>
      <c r="J19" s="971"/>
      <c r="K19" s="971"/>
      <c r="L19" s="972"/>
      <c r="M19" s="482">
        <f t="shared" si="5"/>
        <v>0.32590000000000002</v>
      </c>
    </row>
    <row r="20" spans="1:13" ht="48.75" customHeight="1" x14ac:dyDescent="0.25">
      <c r="A20" s="70">
        <v>14</v>
      </c>
      <c r="B20" s="83" t="s">
        <v>772</v>
      </c>
      <c r="C20" s="79" t="s">
        <v>12</v>
      </c>
      <c r="D20" s="939">
        <f t="shared" si="6"/>
        <v>1260</v>
      </c>
      <c r="E20" s="940"/>
      <c r="F20" s="940"/>
      <c r="G20" s="941"/>
      <c r="H20" s="71"/>
      <c r="I20" s="973">
        <v>950</v>
      </c>
      <c r="J20" s="974"/>
      <c r="K20" s="974"/>
      <c r="L20" s="975"/>
      <c r="M20" s="482">
        <f t="shared" si="5"/>
        <v>0.32590000000000002</v>
      </c>
    </row>
    <row r="21" spans="1:13" ht="57.75" customHeight="1" x14ac:dyDescent="0.25">
      <c r="A21" s="72">
        <v>15</v>
      </c>
      <c r="B21" s="84" t="s">
        <v>592</v>
      </c>
      <c r="C21" s="79" t="s">
        <v>35</v>
      </c>
      <c r="D21" s="939">
        <f t="shared" ref="D21" si="7">MROUND((I21+I21*M21),10)</f>
        <v>640</v>
      </c>
      <c r="E21" s="940"/>
      <c r="F21" s="940"/>
      <c r="G21" s="941"/>
      <c r="I21" s="963">
        <v>480</v>
      </c>
      <c r="J21" s="964"/>
      <c r="K21" s="964"/>
      <c r="L21" s="965"/>
      <c r="M21" s="482">
        <f t="shared" si="5"/>
        <v>0.32590000000000002</v>
      </c>
    </row>
    <row r="22" spans="1:13" ht="57.75" customHeight="1" x14ac:dyDescent="0.25">
      <c r="A22" s="72">
        <v>16</v>
      </c>
      <c r="B22" s="85" t="s">
        <v>156</v>
      </c>
      <c r="C22" s="79" t="s">
        <v>433</v>
      </c>
      <c r="D22" s="942">
        <f>MROUND((I22+I22*M22),5)</f>
        <v>80</v>
      </c>
      <c r="E22" s="943"/>
      <c r="F22" s="943"/>
      <c r="G22" s="944"/>
      <c r="I22" s="942">
        <v>60</v>
      </c>
      <c r="J22" s="943"/>
      <c r="K22" s="943"/>
      <c r="L22" s="944"/>
      <c r="M22" s="482">
        <f>M21</f>
        <v>0.32590000000000002</v>
      </c>
    </row>
    <row r="23" spans="1:13" ht="57.75" customHeight="1" x14ac:dyDescent="0.25">
      <c r="A23" s="73">
        <v>17</v>
      </c>
      <c r="B23" s="86" t="s">
        <v>168</v>
      </c>
      <c r="C23" s="79" t="s">
        <v>555</v>
      </c>
      <c r="D23" s="942">
        <f>MROUND((I23+I23*M23),5)</f>
        <v>425</v>
      </c>
      <c r="E23" s="943"/>
      <c r="F23" s="943"/>
      <c r="G23" s="944"/>
      <c r="I23" s="942">
        <v>320</v>
      </c>
      <c r="J23" s="943"/>
      <c r="K23" s="943"/>
      <c r="L23" s="944"/>
      <c r="M23" s="482">
        <f t="shared" si="5"/>
        <v>0.32590000000000002</v>
      </c>
    </row>
    <row r="24" spans="1:13" x14ac:dyDescent="0.25">
      <c r="A24" s="71"/>
      <c r="B24" s="74"/>
      <c r="C24" s="71"/>
      <c r="D24" s="71"/>
      <c r="E24" s="71"/>
      <c r="F24" s="71"/>
    </row>
    <row r="25" spans="1:13" ht="25.5" customHeight="1" x14ac:dyDescent="0.25">
      <c r="A25" s="858" t="s">
        <v>668</v>
      </c>
      <c r="B25" s="858"/>
      <c r="C25" s="858"/>
      <c r="D25" s="858"/>
      <c r="E25" s="858"/>
      <c r="F25" s="858"/>
      <c r="G25" s="858"/>
    </row>
    <row r="26" spans="1:13" x14ac:dyDescent="0.25">
      <c r="A26" s="71"/>
      <c r="B26" s="74"/>
      <c r="C26" s="71"/>
      <c r="D26" s="71"/>
      <c r="E26" s="71"/>
      <c r="F26" s="71"/>
    </row>
    <row r="27" spans="1:13" x14ac:dyDescent="0.25">
      <c r="A27" s="71"/>
      <c r="B27" s="74"/>
      <c r="C27" s="71"/>
      <c r="D27" s="71"/>
      <c r="E27" s="71"/>
      <c r="F27" s="71"/>
    </row>
    <row r="28" spans="1:13" x14ac:dyDescent="0.25">
      <c r="A28" s="71"/>
      <c r="B28" s="74"/>
      <c r="C28" s="71"/>
      <c r="D28" s="71"/>
      <c r="E28" s="71"/>
      <c r="F28" s="71"/>
    </row>
    <row r="29" spans="1:13" x14ac:dyDescent="0.25">
      <c r="A29" s="71"/>
      <c r="B29" s="74"/>
      <c r="C29" s="71"/>
      <c r="D29" s="71"/>
      <c r="E29" s="71"/>
      <c r="F29" s="71"/>
    </row>
    <row r="30" spans="1:13" x14ac:dyDescent="0.25">
      <c r="A30" s="71"/>
      <c r="B30" s="74"/>
      <c r="C30" s="71"/>
      <c r="D30" s="71"/>
      <c r="E30" s="71"/>
      <c r="F30" s="71"/>
    </row>
    <row r="31" spans="1:13" x14ac:dyDescent="0.25">
      <c r="A31" s="71"/>
      <c r="B31" s="74"/>
      <c r="C31" s="71"/>
      <c r="D31" s="71"/>
      <c r="E31" s="71"/>
      <c r="F31" s="71"/>
    </row>
    <row r="32" spans="1:13" x14ac:dyDescent="0.25">
      <c r="A32" s="71"/>
      <c r="B32" s="74"/>
      <c r="C32" s="71"/>
      <c r="D32" s="71"/>
      <c r="E32" s="71"/>
      <c r="F32" s="71"/>
    </row>
    <row r="33" spans="1:6" x14ac:dyDescent="0.25">
      <c r="A33" s="71"/>
      <c r="B33" s="74"/>
      <c r="C33" s="71"/>
      <c r="D33" s="71"/>
      <c r="E33" s="71"/>
      <c r="F33" s="71"/>
    </row>
    <row r="34" spans="1:6" x14ac:dyDescent="0.25">
      <c r="A34" s="71"/>
      <c r="B34" s="74"/>
      <c r="C34" s="71"/>
      <c r="D34" s="71"/>
      <c r="E34" s="71"/>
      <c r="F34" s="71"/>
    </row>
    <row r="35" spans="1:6" x14ac:dyDescent="0.25">
      <c r="A35" s="71"/>
      <c r="B35" s="74"/>
      <c r="C35" s="71"/>
      <c r="D35" s="71"/>
      <c r="E35" s="71"/>
      <c r="F35" s="71"/>
    </row>
    <row r="36" spans="1:6" x14ac:dyDescent="0.25">
      <c r="A36" s="71"/>
      <c r="B36" s="74"/>
      <c r="C36" s="71"/>
      <c r="D36" s="71"/>
      <c r="E36" s="71"/>
      <c r="F36" s="71"/>
    </row>
    <row r="37" spans="1:6" x14ac:dyDescent="0.25">
      <c r="A37" s="71"/>
      <c r="B37" s="74"/>
      <c r="C37" s="71"/>
      <c r="D37" s="71"/>
      <c r="E37" s="71"/>
      <c r="F37" s="71"/>
    </row>
    <row r="38" spans="1:6" x14ac:dyDescent="0.25">
      <c r="A38" s="71"/>
      <c r="B38" s="74"/>
      <c r="C38" s="71"/>
      <c r="D38" s="71"/>
      <c r="E38" s="71"/>
      <c r="F38" s="71"/>
    </row>
    <row r="39" spans="1:6" x14ac:dyDescent="0.25">
      <c r="A39" s="71"/>
      <c r="B39" s="74"/>
      <c r="C39" s="71"/>
      <c r="D39" s="71"/>
      <c r="E39" s="71"/>
      <c r="F39" s="71"/>
    </row>
  </sheetData>
  <mergeCells count="26">
    <mergeCell ref="I21:L21"/>
    <mergeCell ref="I22:L22"/>
    <mergeCell ref="I23:L23"/>
    <mergeCell ref="I16:L16"/>
    <mergeCell ref="I17:L17"/>
    <mergeCell ref="I18:L18"/>
    <mergeCell ref="I19:L19"/>
    <mergeCell ref="I20:L20"/>
    <mergeCell ref="D18:G18"/>
    <mergeCell ref="A2:G2"/>
    <mergeCell ref="D3:G3"/>
    <mergeCell ref="D4:G4"/>
    <mergeCell ref="D5:E5"/>
    <mergeCell ref="F5:G5"/>
    <mergeCell ref="D16:G16"/>
    <mergeCell ref="D17:G17"/>
    <mergeCell ref="C3:C6"/>
    <mergeCell ref="B3:B6"/>
    <mergeCell ref="A3:A6"/>
    <mergeCell ref="D15:G15"/>
    <mergeCell ref="A25:G25"/>
    <mergeCell ref="D19:G19"/>
    <mergeCell ref="D20:G20"/>
    <mergeCell ref="D21:G21"/>
    <mergeCell ref="D22:G22"/>
    <mergeCell ref="D23:G23"/>
  </mergeCells>
  <hyperlinks>
    <hyperlink ref="H2" location="СОДЕРЖАНИЕ!A1" display="назад к содержанию" xr:uid="{00000000-0004-0000-0E00-000000000000}"/>
    <hyperlink ref="N2" location="Спасибо!A3" display="Спасибо!" xr:uid="{FCA5CE80-27B2-F041-8B7A-56D9185927B7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0"/>
  <sheetViews>
    <sheetView workbookViewId="0">
      <selection activeCell="G38" sqref="G38"/>
    </sheetView>
  </sheetViews>
  <sheetFormatPr defaultRowHeight="15" x14ac:dyDescent="0.25"/>
  <cols>
    <col min="1" max="1" width="3.85546875" bestFit="1" customWidth="1"/>
    <col min="2" max="2" width="43.5703125" style="18" customWidth="1"/>
    <col min="3" max="3" width="7.7109375" bestFit="1" customWidth="1"/>
    <col min="4" max="4" width="10.28515625" customWidth="1"/>
    <col min="5" max="5" width="10.5703125" style="18" bestFit="1" customWidth="1"/>
    <col min="6" max="6" width="10" style="18" customWidth="1"/>
    <col min="7" max="7" width="10.7109375" style="18" customWidth="1"/>
    <col min="8" max="8" width="13" customWidth="1"/>
    <col min="9" max="13" width="8.5703125" hidden="1" customWidth="1"/>
  </cols>
  <sheetData>
    <row r="1" spans="1:14" ht="15.75" thickBot="1" x14ac:dyDescent="0.3">
      <c r="B1" s="755" t="str">
        <f>'2.4 Сэндвич-панели'!B1</f>
        <v>Актуально на 01 апреля 2022</v>
      </c>
    </row>
    <row r="2" spans="1:14" ht="51" customHeight="1" thickBot="1" x14ac:dyDescent="0.3">
      <c r="A2" s="989" t="s">
        <v>170</v>
      </c>
      <c r="B2" s="990"/>
      <c r="C2" s="989"/>
      <c r="D2" s="989"/>
      <c r="E2" s="989"/>
      <c r="F2" s="989"/>
      <c r="G2" s="989"/>
      <c r="H2" s="236" t="s">
        <v>302</v>
      </c>
      <c r="N2" s="579" t="s">
        <v>622</v>
      </c>
    </row>
    <row r="3" spans="1:14" ht="15" customHeight="1" thickBot="1" x14ac:dyDescent="0.3">
      <c r="A3" s="996" t="s">
        <v>1</v>
      </c>
      <c r="B3" s="994" t="s">
        <v>2</v>
      </c>
      <c r="C3" s="995" t="s">
        <v>3</v>
      </c>
      <c r="D3" s="980" t="s">
        <v>4</v>
      </c>
      <c r="E3" s="981"/>
      <c r="F3" s="981"/>
      <c r="G3" s="981"/>
      <c r="N3" s="18"/>
    </row>
    <row r="4" spans="1:14" ht="15" customHeight="1" thickTop="1" x14ac:dyDescent="0.25">
      <c r="A4" s="996"/>
      <c r="B4" s="994"/>
      <c r="C4" s="873"/>
      <c r="D4" s="978" t="s">
        <v>184</v>
      </c>
      <c r="E4" s="991" t="s">
        <v>182</v>
      </c>
      <c r="F4" s="992" t="s">
        <v>183</v>
      </c>
      <c r="G4" s="993" t="s">
        <v>185</v>
      </c>
    </row>
    <row r="5" spans="1:14" ht="40.5" customHeight="1" x14ac:dyDescent="0.25">
      <c r="A5" s="996"/>
      <c r="B5" s="994"/>
      <c r="C5" s="873"/>
      <c r="D5" s="979"/>
      <c r="E5" s="991"/>
      <c r="F5" s="992"/>
      <c r="G5" s="993"/>
    </row>
    <row r="6" spans="1:14" ht="56.25" x14ac:dyDescent="0.25">
      <c r="A6" s="73">
        <v>1</v>
      </c>
      <c r="B6" s="137" t="s">
        <v>171</v>
      </c>
      <c r="C6" s="37" t="s">
        <v>12</v>
      </c>
      <c r="D6" s="105">
        <f>MROUND((I6+I6*M6),5)</f>
        <v>105</v>
      </c>
      <c r="E6" s="470">
        <f>MROUND((J6+J6*M6),5)</f>
        <v>100</v>
      </c>
      <c r="F6" s="471">
        <f>MROUND((K6+K6*M6),5)</f>
        <v>95</v>
      </c>
      <c r="G6" s="106">
        <f>MROUND((L6+L6*M6),5)</f>
        <v>85</v>
      </c>
      <c r="I6" s="105">
        <v>80</v>
      </c>
      <c r="J6" s="470">
        <v>75</v>
      </c>
      <c r="K6" s="471">
        <v>70</v>
      </c>
      <c r="L6" s="106">
        <v>65</v>
      </c>
      <c r="M6" s="482">
        <f>инфляция!A2</f>
        <v>0.32590000000000002</v>
      </c>
    </row>
    <row r="7" spans="1:14" ht="56.25" x14ac:dyDescent="0.25">
      <c r="A7" s="73">
        <v>2</v>
      </c>
      <c r="B7" s="137" t="s">
        <v>172</v>
      </c>
      <c r="C7" s="37" t="s">
        <v>12</v>
      </c>
      <c r="D7" s="105">
        <f t="shared" ref="D7:D8" si="0">MROUND((I7+I7*M7),5)</f>
        <v>150</v>
      </c>
      <c r="E7" s="470">
        <f t="shared" ref="E7:E8" si="1">MROUND((J7+J7*M7),5)</f>
        <v>145</v>
      </c>
      <c r="F7" s="471">
        <f t="shared" ref="F7:F8" si="2">MROUND((K7+K7*M7),5)</f>
        <v>140</v>
      </c>
      <c r="G7" s="106">
        <f t="shared" ref="G7:G8" si="3">MROUND((L7+L7*M7),5)</f>
        <v>135</v>
      </c>
      <c r="I7" s="105">
        <v>115</v>
      </c>
      <c r="J7" s="470">
        <v>110</v>
      </c>
      <c r="K7" s="471">
        <v>105</v>
      </c>
      <c r="L7" s="106">
        <v>100</v>
      </c>
      <c r="M7" s="482">
        <f>M6</f>
        <v>0.32590000000000002</v>
      </c>
    </row>
    <row r="8" spans="1:14" ht="38.25" thickBot="1" x14ac:dyDescent="0.3">
      <c r="A8" s="119">
        <v>3</v>
      </c>
      <c r="B8" s="138" t="s">
        <v>763</v>
      </c>
      <c r="C8" s="120" t="s">
        <v>12</v>
      </c>
      <c r="D8" s="105">
        <f t="shared" si="0"/>
        <v>185</v>
      </c>
      <c r="E8" s="470">
        <f t="shared" si="1"/>
        <v>180</v>
      </c>
      <c r="F8" s="471">
        <f t="shared" si="2"/>
        <v>165</v>
      </c>
      <c r="G8" s="106">
        <f t="shared" si="3"/>
        <v>160</v>
      </c>
      <c r="I8" s="121">
        <v>140</v>
      </c>
      <c r="J8" s="472">
        <v>135</v>
      </c>
      <c r="K8" s="473">
        <v>125</v>
      </c>
      <c r="L8" s="122">
        <v>120</v>
      </c>
      <c r="M8" s="482">
        <f t="shared" ref="M8:M25" si="4">M7</f>
        <v>0.32590000000000002</v>
      </c>
    </row>
    <row r="9" spans="1:14" ht="27.75" thickTop="1" thickBot="1" x14ac:dyDescent="0.3">
      <c r="A9" s="985" t="s">
        <v>174</v>
      </c>
      <c r="B9" s="986"/>
      <c r="C9" s="986"/>
      <c r="D9" s="986"/>
      <c r="E9" s="986"/>
      <c r="F9" s="986"/>
      <c r="G9" s="987"/>
      <c r="M9" s="482">
        <f t="shared" si="4"/>
        <v>0.32590000000000002</v>
      </c>
    </row>
    <row r="10" spans="1:14" ht="38.25" thickTop="1" x14ac:dyDescent="0.25">
      <c r="A10" s="123">
        <v>4</v>
      </c>
      <c r="B10" s="139" t="s">
        <v>173</v>
      </c>
      <c r="C10" s="99" t="s">
        <v>12</v>
      </c>
      <c r="D10" s="124">
        <f>MROUND((I10+I10*M10),5)</f>
        <v>165</v>
      </c>
      <c r="E10" s="125">
        <f>MROUND((J10+J10*M10),5)</f>
        <v>160</v>
      </c>
      <c r="F10" s="126">
        <f>MROUND((K10+K10*M10),5)</f>
        <v>150</v>
      </c>
      <c r="G10" s="127">
        <f>MROUND((L10+L10*M10),5)</f>
        <v>140</v>
      </c>
      <c r="I10" s="124">
        <v>125</v>
      </c>
      <c r="J10" s="125">
        <v>120</v>
      </c>
      <c r="K10" s="126">
        <v>115</v>
      </c>
      <c r="L10" s="127">
        <v>105</v>
      </c>
      <c r="M10" s="482">
        <f t="shared" si="4"/>
        <v>0.32590000000000002</v>
      </c>
    </row>
    <row r="11" spans="1:14" ht="75" x14ac:dyDescent="0.25">
      <c r="A11" s="73">
        <v>5</v>
      </c>
      <c r="B11" s="140" t="s">
        <v>175</v>
      </c>
      <c r="C11" s="37" t="s">
        <v>12</v>
      </c>
      <c r="D11" s="124">
        <f t="shared" ref="D11:D14" si="5">MROUND((I11+I11*M11),5)</f>
        <v>220</v>
      </c>
      <c r="E11" s="125">
        <f t="shared" ref="E11:E14" si="6">MROUND((J11+J11*M11),5)</f>
        <v>210</v>
      </c>
      <c r="F11" s="126">
        <f t="shared" ref="F11:F14" si="7">MROUND((K11+K11*M11),5)</f>
        <v>200</v>
      </c>
      <c r="G11" s="127">
        <f t="shared" ref="G11:G14" si="8">MROUND((L11+L11*M11),5)</f>
        <v>185</v>
      </c>
      <c r="I11" s="104">
        <v>165</v>
      </c>
      <c r="J11" s="107">
        <v>160</v>
      </c>
      <c r="K11" s="108">
        <v>150</v>
      </c>
      <c r="L11" s="109">
        <v>140</v>
      </c>
      <c r="M11" s="482">
        <f t="shared" si="4"/>
        <v>0.32590000000000002</v>
      </c>
    </row>
    <row r="12" spans="1:14" ht="37.5" x14ac:dyDescent="0.25">
      <c r="A12" s="73">
        <v>6</v>
      </c>
      <c r="B12" s="140" t="s">
        <v>176</v>
      </c>
      <c r="C12" s="37" t="s">
        <v>12</v>
      </c>
      <c r="D12" s="124">
        <f t="shared" si="5"/>
        <v>245</v>
      </c>
      <c r="E12" s="125">
        <f t="shared" si="6"/>
        <v>230</v>
      </c>
      <c r="F12" s="126">
        <f t="shared" si="7"/>
        <v>220</v>
      </c>
      <c r="G12" s="127">
        <f t="shared" si="8"/>
        <v>205</v>
      </c>
      <c r="I12" s="104">
        <v>185</v>
      </c>
      <c r="J12" s="107">
        <v>175</v>
      </c>
      <c r="K12" s="108">
        <v>165</v>
      </c>
      <c r="L12" s="109">
        <v>155</v>
      </c>
      <c r="M12" s="482">
        <f t="shared" si="4"/>
        <v>0.32590000000000002</v>
      </c>
    </row>
    <row r="13" spans="1:14" ht="37.5" x14ac:dyDescent="0.25">
      <c r="A13" s="73">
        <v>7</v>
      </c>
      <c r="B13" s="140" t="s">
        <v>177</v>
      </c>
      <c r="C13" s="37" t="s">
        <v>12</v>
      </c>
      <c r="D13" s="124">
        <f t="shared" si="5"/>
        <v>340</v>
      </c>
      <c r="E13" s="125">
        <f t="shared" si="6"/>
        <v>320</v>
      </c>
      <c r="F13" s="126">
        <f t="shared" si="7"/>
        <v>305</v>
      </c>
      <c r="G13" s="127">
        <f t="shared" si="8"/>
        <v>285</v>
      </c>
      <c r="I13" s="104">
        <v>255</v>
      </c>
      <c r="J13" s="107">
        <v>240</v>
      </c>
      <c r="K13" s="108">
        <v>230</v>
      </c>
      <c r="L13" s="109">
        <v>215</v>
      </c>
      <c r="M13" s="482">
        <f t="shared" si="4"/>
        <v>0.32590000000000002</v>
      </c>
    </row>
    <row r="14" spans="1:14" ht="36" customHeight="1" thickBot="1" x14ac:dyDescent="0.3">
      <c r="A14" s="119">
        <v>8</v>
      </c>
      <c r="B14" s="141" t="s">
        <v>178</v>
      </c>
      <c r="C14" s="120" t="s">
        <v>12</v>
      </c>
      <c r="D14" s="124">
        <f t="shared" si="5"/>
        <v>120</v>
      </c>
      <c r="E14" s="125">
        <f t="shared" si="6"/>
        <v>115</v>
      </c>
      <c r="F14" s="126">
        <f t="shared" si="7"/>
        <v>105</v>
      </c>
      <c r="G14" s="127">
        <f t="shared" si="8"/>
        <v>100</v>
      </c>
      <c r="I14" s="128">
        <v>90</v>
      </c>
      <c r="J14" s="129">
        <v>85</v>
      </c>
      <c r="K14" s="130">
        <v>80</v>
      </c>
      <c r="L14" s="131">
        <v>75</v>
      </c>
      <c r="M14" s="482">
        <f t="shared" si="4"/>
        <v>0.32590000000000002</v>
      </c>
    </row>
    <row r="15" spans="1:14" ht="27.75" thickTop="1" thickBot="1" x14ac:dyDescent="0.3">
      <c r="A15" s="982" t="s">
        <v>179</v>
      </c>
      <c r="B15" s="983"/>
      <c r="C15" s="983"/>
      <c r="D15" s="983"/>
      <c r="E15" s="983"/>
      <c r="F15" s="983"/>
      <c r="G15" s="984"/>
      <c r="M15" s="482">
        <f t="shared" si="4"/>
        <v>0.32590000000000002</v>
      </c>
    </row>
    <row r="16" spans="1:14" ht="39" thickTop="1" thickBot="1" x14ac:dyDescent="0.3">
      <c r="A16" s="123">
        <v>9</v>
      </c>
      <c r="B16" s="142" t="s">
        <v>173</v>
      </c>
      <c r="C16" s="99" t="s">
        <v>12</v>
      </c>
      <c r="D16" s="132">
        <f>MROUND((I16+I16*M16),5)</f>
        <v>200</v>
      </c>
      <c r="E16" s="133">
        <f>MROUND((J16+J16*M16),5)</f>
        <v>190</v>
      </c>
      <c r="F16" s="134">
        <f>MROUND((K16+K16*M16),5)</f>
        <v>180</v>
      </c>
      <c r="G16" s="135">
        <f>MROUND((L16+L16*M16),5)</f>
        <v>170</v>
      </c>
      <c r="I16" s="132">
        <f>I10*1.2</f>
        <v>150</v>
      </c>
      <c r="J16" s="133">
        <v>145</v>
      </c>
      <c r="K16" s="134">
        <v>135</v>
      </c>
      <c r="L16" s="135">
        <v>130</v>
      </c>
      <c r="M16" s="482">
        <f t="shared" si="4"/>
        <v>0.32590000000000002</v>
      </c>
    </row>
    <row r="17" spans="1:13" ht="76.5" thickTop="1" thickBot="1" x14ac:dyDescent="0.3">
      <c r="A17" s="73">
        <v>10</v>
      </c>
      <c r="B17" s="143" t="s">
        <v>175</v>
      </c>
      <c r="C17" s="37" t="s">
        <v>12</v>
      </c>
      <c r="D17" s="132">
        <f t="shared" ref="D17:D20" si="9">MROUND((I17+I17*M17),5)</f>
        <v>250</v>
      </c>
      <c r="E17" s="133">
        <f t="shared" ref="E17:E19" si="10">MROUND((J17+J17*M17),5)</f>
        <v>240</v>
      </c>
      <c r="F17" s="134">
        <f t="shared" ref="F17:F19" si="11">MROUND((K17+K17*M17),5)</f>
        <v>225</v>
      </c>
      <c r="G17" s="135">
        <f t="shared" ref="G17:G20" si="12">MROUND((L17+L17*M17),5)</f>
        <v>210</v>
      </c>
      <c r="I17" s="103">
        <v>190</v>
      </c>
      <c r="J17" s="110">
        <v>180</v>
      </c>
      <c r="K17" s="111">
        <v>170</v>
      </c>
      <c r="L17" s="112">
        <v>160</v>
      </c>
      <c r="M17" s="482">
        <f t="shared" si="4"/>
        <v>0.32590000000000002</v>
      </c>
    </row>
    <row r="18" spans="1:13" ht="39" thickTop="1" thickBot="1" x14ac:dyDescent="0.3">
      <c r="A18" s="73">
        <v>11</v>
      </c>
      <c r="B18" s="143" t="s">
        <v>176</v>
      </c>
      <c r="C18" s="37" t="s">
        <v>12</v>
      </c>
      <c r="D18" s="132">
        <f t="shared" si="9"/>
        <v>280</v>
      </c>
      <c r="E18" s="133">
        <f t="shared" si="10"/>
        <v>265</v>
      </c>
      <c r="F18" s="134">
        <f t="shared" si="11"/>
        <v>250</v>
      </c>
      <c r="G18" s="135">
        <f t="shared" si="12"/>
        <v>240</v>
      </c>
      <c r="I18" s="103">
        <v>210</v>
      </c>
      <c r="J18" s="110">
        <v>200</v>
      </c>
      <c r="K18" s="111">
        <v>190</v>
      </c>
      <c r="L18" s="112">
        <v>180</v>
      </c>
      <c r="M18" s="482">
        <f t="shared" si="4"/>
        <v>0.32590000000000002</v>
      </c>
    </row>
    <row r="19" spans="1:13" ht="39" thickTop="1" thickBot="1" x14ac:dyDescent="0.3">
      <c r="A19" s="73">
        <v>12</v>
      </c>
      <c r="B19" s="143" t="s">
        <v>177</v>
      </c>
      <c r="C19" s="37" t="s">
        <v>12</v>
      </c>
      <c r="D19" s="132">
        <f t="shared" si="9"/>
        <v>440</v>
      </c>
      <c r="E19" s="133">
        <f t="shared" si="10"/>
        <v>420</v>
      </c>
      <c r="F19" s="134">
        <f t="shared" si="11"/>
        <v>400</v>
      </c>
      <c r="G19" s="135">
        <f t="shared" si="12"/>
        <v>370</v>
      </c>
      <c r="I19" s="103">
        <v>330</v>
      </c>
      <c r="J19" s="110">
        <v>315</v>
      </c>
      <c r="K19" s="111">
        <v>300</v>
      </c>
      <c r="L19" s="112">
        <v>280</v>
      </c>
      <c r="M19" s="482">
        <f t="shared" si="4"/>
        <v>0.32590000000000002</v>
      </c>
    </row>
    <row r="20" spans="1:13" ht="33" customHeight="1" thickTop="1" x14ac:dyDescent="0.25">
      <c r="A20" s="73">
        <v>13</v>
      </c>
      <c r="B20" s="143" t="s">
        <v>178</v>
      </c>
      <c r="C20" s="37" t="s">
        <v>12</v>
      </c>
      <c r="D20" s="132">
        <f t="shared" si="9"/>
        <v>160</v>
      </c>
      <c r="E20" s="133">
        <f>MROUND((J20+J20*M20),5)</f>
        <v>150</v>
      </c>
      <c r="F20" s="134">
        <f>MROUND((K20+K20*M20),5)</f>
        <v>145</v>
      </c>
      <c r="G20" s="135">
        <f t="shared" si="12"/>
        <v>140</v>
      </c>
      <c r="I20" s="103">
        <v>120</v>
      </c>
      <c r="J20" s="110">
        <v>115</v>
      </c>
      <c r="K20" s="111">
        <v>110</v>
      </c>
      <c r="L20" s="112">
        <v>105</v>
      </c>
      <c r="M20" s="482">
        <f t="shared" si="4"/>
        <v>0.32590000000000002</v>
      </c>
    </row>
    <row r="21" spans="1:13" ht="18.75" customHeight="1" thickBot="1" x14ac:dyDescent="0.3">
      <c r="A21" s="976"/>
      <c r="B21" s="976"/>
      <c r="C21" s="976"/>
      <c r="D21" s="977"/>
      <c r="E21" s="976"/>
      <c r="F21" s="976"/>
      <c r="G21" s="976"/>
      <c r="M21" s="482">
        <f t="shared" si="4"/>
        <v>0.32590000000000002</v>
      </c>
    </row>
    <row r="22" spans="1:13" ht="87" customHeight="1" thickTop="1" thickBot="1" x14ac:dyDescent="0.3">
      <c r="A22" s="73">
        <v>14</v>
      </c>
      <c r="B22" s="144" t="s">
        <v>601</v>
      </c>
      <c r="C22" s="37" t="s">
        <v>12</v>
      </c>
      <c r="D22" s="102">
        <f>MROUND((I22+I22*M22),5)</f>
        <v>290</v>
      </c>
      <c r="E22" s="113">
        <f>MROUND((J22+J22*M22),5)</f>
        <v>280</v>
      </c>
      <c r="F22" s="114">
        <f>MROUND((K22+K22*M22),5)</f>
        <v>265</v>
      </c>
      <c r="G22" s="115">
        <f>MROUND((L22+L22*M22),5)</f>
        <v>250</v>
      </c>
      <c r="I22" s="102">
        <v>220</v>
      </c>
      <c r="J22" s="113">
        <v>210</v>
      </c>
      <c r="K22" s="114">
        <v>200</v>
      </c>
      <c r="L22" s="115">
        <v>190</v>
      </c>
      <c r="M22" s="482">
        <f t="shared" si="4"/>
        <v>0.32590000000000002</v>
      </c>
    </row>
    <row r="23" spans="1:13" ht="18.75" customHeight="1" thickTop="1" thickBot="1" x14ac:dyDescent="0.3">
      <c r="A23" s="976"/>
      <c r="B23" s="976"/>
      <c r="C23" s="976"/>
      <c r="D23" s="977"/>
      <c r="E23" s="976"/>
      <c r="F23" s="976"/>
      <c r="G23" s="976"/>
      <c r="M23" s="482">
        <f t="shared" si="4"/>
        <v>0.32590000000000002</v>
      </c>
    </row>
    <row r="24" spans="1:13" ht="20.25" thickTop="1" thickBot="1" x14ac:dyDescent="0.3">
      <c r="A24" s="73">
        <v>15</v>
      </c>
      <c r="B24" s="145" t="s">
        <v>180</v>
      </c>
      <c r="C24" s="37" t="s">
        <v>12</v>
      </c>
      <c r="D24" s="100">
        <f>MROUND((I24+I24*M24),5)</f>
        <v>465</v>
      </c>
      <c r="E24" s="116">
        <f>MROUND((J24+J24*M24),5)</f>
        <v>440</v>
      </c>
      <c r="F24" s="117">
        <f>MROUND((K24+K24*M24),5)</f>
        <v>420</v>
      </c>
      <c r="G24" s="118">
        <f>MROUND((L24+L24*M24),5)</f>
        <v>400</v>
      </c>
      <c r="I24" s="100">
        <v>350</v>
      </c>
      <c r="J24" s="116">
        <v>330</v>
      </c>
      <c r="K24" s="117">
        <v>315</v>
      </c>
      <c r="L24" s="484">
        <v>300</v>
      </c>
      <c r="M24" s="482">
        <f t="shared" si="4"/>
        <v>0.32590000000000002</v>
      </c>
    </row>
    <row r="25" spans="1:13" ht="39" thickTop="1" thickBot="1" x14ac:dyDescent="0.3">
      <c r="A25" s="73">
        <v>16</v>
      </c>
      <c r="B25" s="145" t="s">
        <v>181</v>
      </c>
      <c r="C25" s="37" t="s">
        <v>12</v>
      </c>
      <c r="D25" s="100">
        <f>MROUND((I25+I25*M25),5)</f>
        <v>665</v>
      </c>
      <c r="E25" s="116">
        <f>MROUND((J25+J25*M25),5)</f>
        <v>630</v>
      </c>
      <c r="F25" s="117">
        <f>MROUND((K25+K25*M25),5)</f>
        <v>595</v>
      </c>
      <c r="G25" s="512">
        <f>MROUND((L25+L25*M25),5)</f>
        <v>565</v>
      </c>
      <c r="I25" s="101">
        <v>500</v>
      </c>
      <c r="J25" s="116">
        <v>475</v>
      </c>
      <c r="K25" s="117">
        <v>450</v>
      </c>
      <c r="L25" s="484">
        <v>425</v>
      </c>
      <c r="M25" s="482">
        <f t="shared" si="4"/>
        <v>0.32590000000000002</v>
      </c>
    </row>
    <row r="26" spans="1:13" ht="15.75" thickTop="1" x14ac:dyDescent="0.25"/>
    <row r="27" spans="1:13" ht="15.75" thickBot="1" x14ac:dyDescent="0.3"/>
    <row r="28" spans="1:13" ht="36.75" customHeight="1" thickTop="1" thickBot="1" x14ac:dyDescent="0.3">
      <c r="A28" s="136" t="s">
        <v>137</v>
      </c>
      <c r="B28" s="988" t="s">
        <v>186</v>
      </c>
      <c r="C28" s="988"/>
      <c r="D28" s="988"/>
      <c r="E28" s="988"/>
      <c r="F28" s="988"/>
      <c r="G28" s="988"/>
    </row>
    <row r="29" spans="1:13" ht="15.75" thickTop="1" x14ac:dyDescent="0.25"/>
    <row r="30" spans="1:13" ht="24" customHeight="1" x14ac:dyDescent="0.25">
      <c r="A30" s="858" t="s">
        <v>668</v>
      </c>
      <c r="B30" s="858"/>
      <c r="C30" s="858"/>
      <c r="D30" s="858"/>
      <c r="E30" s="858"/>
      <c r="F30" s="858"/>
      <c r="G30" s="858"/>
    </row>
  </sheetData>
  <mergeCells count="15">
    <mergeCell ref="A2:G2"/>
    <mergeCell ref="E4:E5"/>
    <mergeCell ref="F4:F5"/>
    <mergeCell ref="G4:G5"/>
    <mergeCell ref="B3:B5"/>
    <mergeCell ref="C3:C5"/>
    <mergeCell ref="A3:A5"/>
    <mergeCell ref="A30:G30"/>
    <mergeCell ref="A23:G23"/>
    <mergeCell ref="D4:D5"/>
    <mergeCell ref="D3:G3"/>
    <mergeCell ref="A15:G15"/>
    <mergeCell ref="A9:G9"/>
    <mergeCell ref="A21:G21"/>
    <mergeCell ref="B28:G28"/>
  </mergeCells>
  <hyperlinks>
    <hyperlink ref="H2" location="СОДЕРЖАНИЕ!A1" display="назад к содержанию" xr:uid="{00000000-0004-0000-0F00-000000000000}"/>
    <hyperlink ref="N2" location="Спасибо!A3" display="Спасибо!" xr:uid="{09772E31-73F1-844F-85C6-2092011BC62E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workbookViewId="0">
      <selection activeCell="H2" sqref="H2"/>
    </sheetView>
  </sheetViews>
  <sheetFormatPr defaultRowHeight="15" x14ac:dyDescent="0.25"/>
  <cols>
    <col min="1" max="1" width="3.85546875" bestFit="1" customWidth="1"/>
    <col min="2" max="2" width="53.28515625" style="18" bestFit="1" customWidth="1"/>
    <col min="3" max="3" width="10.42578125" style="47" customWidth="1"/>
    <col min="4" max="4" width="12.5703125" style="146" bestFit="1" customWidth="1"/>
    <col min="5" max="5" width="10.28515625" style="146" bestFit="1" customWidth="1"/>
    <col min="6" max="6" width="8.7109375" style="146" bestFit="1" customWidth="1"/>
    <col min="7" max="7" width="10.42578125" style="146" bestFit="1" customWidth="1"/>
    <col min="8" max="8" width="13.85546875" style="18" customWidth="1"/>
    <col min="9" max="13" width="8.5703125" hidden="1" customWidth="1"/>
  </cols>
  <sheetData>
    <row r="1" spans="1:14" ht="15.75" thickBot="1" x14ac:dyDescent="0.3">
      <c r="B1" s="755" t="str">
        <f>'2.5 Герметизация мп швов'!B1</f>
        <v>Актуально на 01 апреля 2022</v>
      </c>
    </row>
    <row r="2" spans="1:14" ht="120.75" customHeight="1" thickBot="1" x14ac:dyDescent="0.3">
      <c r="A2" s="1025" t="s">
        <v>865</v>
      </c>
      <c r="B2" s="1025"/>
      <c r="C2" s="1025"/>
      <c r="D2" s="1025"/>
      <c r="E2" s="1025"/>
      <c r="F2" s="1025"/>
      <c r="G2" s="1025"/>
      <c r="H2" s="236" t="s">
        <v>302</v>
      </c>
      <c r="N2" s="579" t="s">
        <v>622</v>
      </c>
    </row>
    <row r="3" spans="1:14" x14ac:dyDescent="0.25">
      <c r="A3" s="1031" t="s">
        <v>1</v>
      </c>
      <c r="B3" s="1029" t="s">
        <v>2</v>
      </c>
      <c r="C3" s="1033" t="s">
        <v>3</v>
      </c>
      <c r="D3" s="1026" t="s">
        <v>4</v>
      </c>
      <c r="E3" s="1027"/>
      <c r="F3" s="1027"/>
      <c r="G3" s="1028"/>
      <c r="N3" s="18"/>
    </row>
    <row r="4" spans="1:14" ht="37.5" x14ac:dyDescent="0.25">
      <c r="A4" s="1032"/>
      <c r="B4" s="1030"/>
      <c r="C4" s="1034"/>
      <c r="D4" s="157" t="s">
        <v>187</v>
      </c>
      <c r="E4" s="1021" t="s">
        <v>188</v>
      </c>
      <c r="F4" s="1022"/>
      <c r="G4" s="158" t="s">
        <v>189</v>
      </c>
    </row>
    <row r="5" spans="1:14" ht="30" x14ac:dyDescent="0.25">
      <c r="A5" s="28">
        <v>1</v>
      </c>
      <c r="B5" s="160" t="s">
        <v>195</v>
      </c>
      <c r="C5" s="693" t="s">
        <v>758</v>
      </c>
      <c r="D5" s="161">
        <f>MROUND((I5+I5*M5),100)</f>
        <v>2000</v>
      </c>
      <c r="E5" s="1023">
        <f>MROUND((K5+K5*M5),100)</f>
        <v>2700</v>
      </c>
      <c r="F5" s="1024"/>
      <c r="G5" s="164">
        <f>MROUND((L5+L5*M5),100)</f>
        <v>3000</v>
      </c>
      <c r="I5" s="161">
        <v>1500</v>
      </c>
      <c r="J5" s="162">
        <v>2000</v>
      </c>
      <c r="K5" s="163">
        <v>2000</v>
      </c>
      <c r="L5" s="164">
        <v>2250</v>
      </c>
      <c r="M5" s="482">
        <f>инфляция!A2</f>
        <v>0.32590000000000002</v>
      </c>
    </row>
    <row r="6" spans="1:14" ht="26.25" x14ac:dyDescent="0.25">
      <c r="A6" s="28">
        <v>2</v>
      </c>
      <c r="B6" s="160" t="s">
        <v>781</v>
      </c>
      <c r="C6" s="693" t="s">
        <v>39</v>
      </c>
      <c r="D6" s="762">
        <f>MROUND((I6+I6*M6),100)</f>
        <v>8000</v>
      </c>
      <c r="E6" s="1023">
        <f>MROUND((K6+K6*M6),500)</f>
        <v>10500</v>
      </c>
      <c r="F6" s="1024"/>
      <c r="G6" s="164">
        <f>MROUND((L6+L6*M6),500)</f>
        <v>12000</v>
      </c>
      <c r="I6" s="161">
        <v>6000</v>
      </c>
      <c r="J6" s="162">
        <v>8000</v>
      </c>
      <c r="K6" s="163">
        <v>8000</v>
      </c>
      <c r="L6" s="164">
        <v>9000</v>
      </c>
      <c r="M6" s="482">
        <f>M5</f>
        <v>0.32590000000000002</v>
      </c>
    </row>
    <row r="7" spans="1:14" ht="18.75" x14ac:dyDescent="0.25">
      <c r="A7" s="28">
        <v>3</v>
      </c>
      <c r="B7" s="165" t="s">
        <v>190</v>
      </c>
      <c r="C7" s="693" t="s">
        <v>758</v>
      </c>
      <c r="D7" s="161">
        <f t="shared" ref="D7" si="0">MROUND((I7+I7*M7),50)</f>
        <v>650</v>
      </c>
      <c r="E7" s="1023">
        <f>MROUND((K7+K7*M7),50)</f>
        <v>950</v>
      </c>
      <c r="F7" s="1024"/>
      <c r="G7" s="164">
        <f t="shared" ref="G7" si="1">MROUND((L7+L7*M7),50)</f>
        <v>1000</v>
      </c>
      <c r="I7" s="161">
        <v>500</v>
      </c>
      <c r="J7" s="162">
        <v>700</v>
      </c>
      <c r="K7" s="163">
        <v>700</v>
      </c>
      <c r="L7" s="164">
        <v>750</v>
      </c>
      <c r="M7" s="482">
        <f t="shared" ref="M7:M15" si="2">M6</f>
        <v>0.32590000000000002</v>
      </c>
    </row>
    <row r="8" spans="1:14" s="71" customFormat="1" ht="19.5" thickBot="1" x14ac:dyDescent="0.3">
      <c r="A8" s="151"/>
      <c r="B8" s="152"/>
      <c r="C8" s="147"/>
      <c r="D8" s="153"/>
      <c r="E8" s="154"/>
      <c r="F8" s="155"/>
      <c r="G8" s="156"/>
      <c r="H8" s="74"/>
      <c r="I8" s="153"/>
      <c r="J8" s="154"/>
      <c r="K8" s="155"/>
      <c r="L8" s="156"/>
      <c r="M8" s="482">
        <f t="shared" si="2"/>
        <v>0.32590000000000002</v>
      </c>
    </row>
    <row r="9" spans="1:14" ht="19.5" thickTop="1" x14ac:dyDescent="0.25">
      <c r="A9" s="1004">
        <v>4</v>
      </c>
      <c r="B9" s="148" t="s">
        <v>191</v>
      </c>
      <c r="C9" s="149" t="s">
        <v>193</v>
      </c>
      <c r="D9" s="1002">
        <f>MROUND((I9+I9*M9),100)</f>
        <v>2700</v>
      </c>
      <c r="E9" s="1002"/>
      <c r="F9" s="1002"/>
      <c r="G9" s="1003"/>
      <c r="I9" s="1002">
        <v>2000</v>
      </c>
      <c r="J9" s="1002"/>
      <c r="K9" s="1002"/>
      <c r="L9" s="1003"/>
      <c r="M9" s="482">
        <f t="shared" si="2"/>
        <v>0.32590000000000002</v>
      </c>
    </row>
    <row r="10" spans="1:14" ht="19.5" thickBot="1" x14ac:dyDescent="0.3">
      <c r="A10" s="1005"/>
      <c r="B10" s="150" t="s">
        <v>192</v>
      </c>
      <c r="C10" s="10" t="s">
        <v>145</v>
      </c>
      <c r="D10" s="1000">
        <f>I10+I10*M10</f>
        <v>26.518000000000001</v>
      </c>
      <c r="E10" s="1000"/>
      <c r="F10" s="1000"/>
      <c r="G10" s="1001"/>
      <c r="I10" s="1000">
        <v>20</v>
      </c>
      <c r="J10" s="1000"/>
      <c r="K10" s="1000"/>
      <c r="L10" s="1001"/>
      <c r="M10" s="482">
        <f t="shared" si="2"/>
        <v>0.32590000000000002</v>
      </c>
    </row>
    <row r="11" spans="1:14" ht="19.5" thickTop="1" x14ac:dyDescent="0.25">
      <c r="A11" s="241"/>
      <c r="B11" s="257"/>
      <c r="C11" s="241"/>
      <c r="D11" s="258"/>
      <c r="E11" s="258"/>
      <c r="F11" s="258"/>
      <c r="G11" s="258"/>
      <c r="I11" s="258"/>
      <c r="J11" s="258"/>
      <c r="K11" s="258"/>
      <c r="L11" s="258"/>
      <c r="M11" s="482">
        <f t="shared" si="2"/>
        <v>0.32590000000000002</v>
      </c>
    </row>
    <row r="12" spans="1:14" ht="18.75" x14ac:dyDescent="0.25">
      <c r="A12" s="28">
        <v>5</v>
      </c>
      <c r="B12" s="215" t="s">
        <v>320</v>
      </c>
      <c r="C12" s="28" t="s">
        <v>322</v>
      </c>
      <c r="D12" s="1006">
        <f>MROUND((I12+I12*M12),100)</f>
        <v>3300</v>
      </c>
      <c r="E12" s="1007"/>
      <c r="F12" s="1007"/>
      <c r="G12" s="1008"/>
      <c r="I12" s="1006">
        <v>2500</v>
      </c>
      <c r="J12" s="1007"/>
      <c r="K12" s="1007"/>
      <c r="L12" s="1008"/>
      <c r="M12" s="482">
        <f t="shared" si="2"/>
        <v>0.32590000000000002</v>
      </c>
    </row>
    <row r="13" spans="1:14" ht="30" x14ac:dyDescent="0.25">
      <c r="A13" s="28">
        <v>6</v>
      </c>
      <c r="B13" s="215" t="s">
        <v>321</v>
      </c>
      <c r="C13" s="28" t="s">
        <v>322</v>
      </c>
      <c r="D13" s="1006">
        <f>MROUND((I13+I13*M13),100)</f>
        <v>5300</v>
      </c>
      <c r="E13" s="1007"/>
      <c r="F13" s="1007"/>
      <c r="G13" s="1008"/>
      <c r="I13" s="1006">
        <v>4000</v>
      </c>
      <c r="J13" s="1007"/>
      <c r="K13" s="1007"/>
      <c r="L13" s="1008"/>
      <c r="M13" s="482">
        <f t="shared" si="2"/>
        <v>0.32590000000000002</v>
      </c>
    </row>
    <row r="14" spans="1:14" ht="18.75" x14ac:dyDescent="0.25">
      <c r="A14" s="691"/>
      <c r="B14" s="694"/>
      <c r="C14" s="691"/>
      <c r="D14" s="1010"/>
      <c r="E14" s="1011"/>
      <c r="F14" s="1011"/>
      <c r="G14" s="1012"/>
      <c r="I14" s="695"/>
      <c r="J14" s="695"/>
      <c r="K14" s="695"/>
      <c r="L14" s="695"/>
      <c r="M14" s="482">
        <f t="shared" si="2"/>
        <v>0.32590000000000002</v>
      </c>
    </row>
    <row r="15" spans="1:14" ht="18.75" x14ac:dyDescent="0.25">
      <c r="A15" s="28">
        <v>7</v>
      </c>
      <c r="B15" s="215" t="s">
        <v>759</v>
      </c>
      <c r="C15" s="693" t="s">
        <v>760</v>
      </c>
      <c r="D15" s="1009">
        <f>MROUND((I15+I15*M15),50)</f>
        <v>1150</v>
      </c>
      <c r="E15" s="1009"/>
      <c r="F15" s="1009"/>
      <c r="G15" s="1009"/>
      <c r="I15" s="1035">
        <v>880</v>
      </c>
      <c r="J15" s="1035"/>
      <c r="K15" s="1035"/>
      <c r="L15" s="1035"/>
      <c r="M15" s="482">
        <f t="shared" si="2"/>
        <v>0.32590000000000002</v>
      </c>
    </row>
    <row r="16" spans="1:14" ht="15.75" thickBot="1" x14ac:dyDescent="0.3"/>
    <row r="17" spans="1:8" ht="24" thickBot="1" x14ac:dyDescent="0.3">
      <c r="A17" s="1013" t="s">
        <v>858</v>
      </c>
      <c r="B17" s="1014"/>
      <c r="C17" s="1014"/>
      <c r="D17" s="1014"/>
      <c r="E17" s="1014"/>
      <c r="F17" s="1014"/>
      <c r="G17" s="1015"/>
    </row>
    <row r="18" spans="1:8" s="219" customFormat="1" ht="33.75" customHeight="1" x14ac:dyDescent="0.25">
      <c r="A18" s="844">
        <v>8</v>
      </c>
      <c r="B18" s="845" t="s">
        <v>864</v>
      </c>
      <c r="C18" s="846" t="s">
        <v>703</v>
      </c>
      <c r="D18" s="1016">
        <v>1.8</v>
      </c>
      <c r="E18" s="1016"/>
      <c r="F18" s="1016"/>
      <c r="G18" s="1016"/>
      <c r="H18" s="64"/>
    </row>
    <row r="19" spans="1:8" ht="30" x14ac:dyDescent="0.25">
      <c r="A19" s="834">
        <v>9</v>
      </c>
      <c r="B19" s="832" t="s">
        <v>859</v>
      </c>
      <c r="C19" s="833" t="s">
        <v>703</v>
      </c>
      <c r="D19" s="1017">
        <v>1.5</v>
      </c>
      <c r="E19" s="1017"/>
      <c r="F19" s="1017"/>
      <c r="G19" s="1017"/>
    </row>
    <row r="20" spans="1:8" ht="30" x14ac:dyDescent="0.25">
      <c r="A20" s="834">
        <v>10</v>
      </c>
      <c r="B20" s="832" t="s">
        <v>860</v>
      </c>
      <c r="C20" s="833" t="s">
        <v>703</v>
      </c>
      <c r="D20" s="1017">
        <v>1.3</v>
      </c>
      <c r="E20" s="1017"/>
      <c r="F20" s="1017"/>
      <c r="G20" s="1017"/>
    </row>
    <row r="21" spans="1:8" ht="18.75" x14ac:dyDescent="0.25">
      <c r="A21" s="830"/>
      <c r="B21" s="51"/>
      <c r="D21" s="1018"/>
      <c r="E21" s="1018"/>
      <c r="F21" s="1018"/>
      <c r="G21" s="1018"/>
    </row>
    <row r="22" spans="1:8" ht="18.75" x14ac:dyDescent="0.25">
      <c r="A22" s="835">
        <v>11</v>
      </c>
      <c r="B22" s="831" t="s">
        <v>861</v>
      </c>
      <c r="C22" s="836" t="s">
        <v>703</v>
      </c>
      <c r="D22" s="1020">
        <v>1.2</v>
      </c>
      <c r="E22" s="1020"/>
      <c r="F22" s="1020"/>
      <c r="G22" s="1020"/>
    </row>
    <row r="23" spans="1:8" ht="30" x14ac:dyDescent="0.25">
      <c r="A23" s="837">
        <v>12</v>
      </c>
      <c r="B23" s="838" t="s">
        <v>862</v>
      </c>
      <c r="C23" s="839" t="s">
        <v>703</v>
      </c>
      <c r="D23" s="1019">
        <v>1.2</v>
      </c>
      <c r="E23" s="1019"/>
      <c r="F23" s="1019"/>
      <c r="G23" s="1019"/>
    </row>
    <row r="24" spans="1:8" ht="45" x14ac:dyDescent="0.25">
      <c r="A24" s="840">
        <v>13</v>
      </c>
      <c r="B24" s="53" t="s">
        <v>863</v>
      </c>
      <c r="C24" s="841" t="s">
        <v>703</v>
      </c>
      <c r="D24" s="997">
        <v>1.5</v>
      </c>
      <c r="E24" s="997"/>
      <c r="F24" s="997"/>
      <c r="G24" s="997"/>
    </row>
    <row r="25" spans="1:8" ht="15.75" thickBot="1" x14ac:dyDescent="0.3"/>
    <row r="26" spans="1:8" ht="27.75" customHeight="1" thickTop="1" thickBot="1" x14ac:dyDescent="0.3">
      <c r="A26" s="159" t="s">
        <v>194</v>
      </c>
      <c r="B26" s="998" t="s">
        <v>562</v>
      </c>
      <c r="C26" s="998"/>
      <c r="D26" s="998"/>
      <c r="E26" s="998"/>
      <c r="F26" s="998"/>
      <c r="G26" s="999"/>
    </row>
    <row r="27" spans="1:8" ht="16.5" thickTop="1" thickBot="1" x14ac:dyDescent="0.3"/>
    <row r="28" spans="1:8" ht="30.75" thickBot="1" x14ac:dyDescent="0.3">
      <c r="B28" s="259" t="s">
        <v>323</v>
      </c>
    </row>
    <row r="30" spans="1:8" ht="23.25" customHeight="1" x14ac:dyDescent="0.25">
      <c r="A30" s="858" t="s">
        <v>668</v>
      </c>
      <c r="B30" s="858"/>
      <c r="C30" s="858"/>
      <c r="D30" s="858"/>
      <c r="E30" s="858"/>
      <c r="F30" s="858"/>
      <c r="G30" s="858"/>
    </row>
  </sheetData>
  <mergeCells count="31">
    <mergeCell ref="I15:L15"/>
    <mergeCell ref="I9:L9"/>
    <mergeCell ref="I10:L10"/>
    <mergeCell ref="I12:L12"/>
    <mergeCell ref="I13:L13"/>
    <mergeCell ref="A2:G2"/>
    <mergeCell ref="D3:G3"/>
    <mergeCell ref="B3:B4"/>
    <mergeCell ref="A3:A4"/>
    <mergeCell ref="C3:C4"/>
    <mergeCell ref="D22:G22"/>
    <mergeCell ref="E4:F4"/>
    <mergeCell ref="E5:F5"/>
    <mergeCell ref="E6:F6"/>
    <mergeCell ref="E7:F7"/>
    <mergeCell ref="D24:G24"/>
    <mergeCell ref="A30:G30"/>
    <mergeCell ref="B26:G26"/>
    <mergeCell ref="D10:G10"/>
    <mergeCell ref="D9:G9"/>
    <mergeCell ref="A9:A10"/>
    <mergeCell ref="D13:G13"/>
    <mergeCell ref="D15:G15"/>
    <mergeCell ref="D14:G14"/>
    <mergeCell ref="D12:G12"/>
    <mergeCell ref="A17:G17"/>
    <mergeCell ref="D18:G18"/>
    <mergeCell ref="D19:G19"/>
    <mergeCell ref="D20:G20"/>
    <mergeCell ref="D21:G21"/>
    <mergeCell ref="D23:G23"/>
  </mergeCells>
  <hyperlinks>
    <hyperlink ref="H2" location="СОДЕРЖАНИЕ!A1" display="назад к содержанию" xr:uid="{00000000-0004-0000-1000-000000000000}"/>
    <hyperlink ref="N2" location="Спасибо!A3" display="Спасибо!" xr:uid="{27FDAB3D-3E76-7148-B3F6-19866D0D8FC3}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7"/>
  <sheetViews>
    <sheetView workbookViewId="0">
      <selection activeCell="F41" sqref="F41"/>
    </sheetView>
  </sheetViews>
  <sheetFormatPr defaultRowHeight="18.75" x14ac:dyDescent="0.25"/>
  <cols>
    <col min="1" max="1" width="3.85546875" bestFit="1" customWidth="1"/>
    <col min="2" max="2" width="44.140625" style="18" customWidth="1"/>
    <col min="3" max="3" width="7.7109375" bestFit="1" customWidth="1"/>
    <col min="4" max="4" width="10.5703125" style="166" bestFit="1" customWidth="1"/>
    <col min="5" max="7" width="10.7109375" style="166" bestFit="1" customWidth="1"/>
    <col min="8" max="8" width="12.85546875" customWidth="1"/>
    <col min="9" max="13" width="0" hidden="1" customWidth="1"/>
  </cols>
  <sheetData>
    <row r="1" spans="1:14" ht="19.5" thickBot="1" x14ac:dyDescent="0.3">
      <c r="B1" s="755" t="str">
        <f>'2.6 Ставки, коэффициенты'!B1</f>
        <v>Актуально на 01 апреля 2022</v>
      </c>
    </row>
    <row r="2" spans="1:14" ht="30.75" thickBot="1" x14ac:dyDescent="0.3">
      <c r="A2" s="1036" t="s">
        <v>837</v>
      </c>
      <c r="B2" s="894"/>
      <c r="C2" s="894"/>
      <c r="D2" s="894"/>
      <c r="E2" s="894"/>
      <c r="F2" s="894"/>
      <c r="G2" s="1037"/>
      <c r="H2" s="236" t="s">
        <v>302</v>
      </c>
      <c r="N2" s="579" t="s">
        <v>622</v>
      </c>
    </row>
    <row r="3" spans="1:14" x14ac:dyDescent="0.25">
      <c r="A3" s="996" t="s">
        <v>1</v>
      </c>
      <c r="B3" s="1041" t="s">
        <v>2</v>
      </c>
      <c r="C3" s="995" t="s">
        <v>3</v>
      </c>
      <c r="D3" s="1043" t="s">
        <v>4</v>
      </c>
      <c r="E3" s="1043"/>
      <c r="F3" s="1043"/>
      <c r="G3" s="1043"/>
      <c r="N3" s="18"/>
    </row>
    <row r="4" spans="1:14" x14ac:dyDescent="0.25">
      <c r="A4" s="996"/>
      <c r="B4" s="1041"/>
      <c r="C4" s="995"/>
      <c r="D4" s="1042" t="s">
        <v>204</v>
      </c>
      <c r="E4" s="1042"/>
      <c r="F4" s="1044" t="s">
        <v>205</v>
      </c>
      <c r="G4" s="1044"/>
    </row>
    <row r="5" spans="1:14" ht="21.75" customHeight="1" x14ac:dyDescent="0.25">
      <c r="A5" s="996"/>
      <c r="B5" s="1041"/>
      <c r="C5" s="995"/>
      <c r="D5" s="786" t="s">
        <v>207</v>
      </c>
      <c r="E5" s="787" t="s">
        <v>206</v>
      </c>
      <c r="F5" s="788" t="s">
        <v>207</v>
      </c>
      <c r="G5" s="789" t="s">
        <v>206</v>
      </c>
    </row>
    <row r="6" spans="1:14" ht="30" x14ac:dyDescent="0.25">
      <c r="A6" s="777">
        <v>1</v>
      </c>
      <c r="B6" s="793" t="s">
        <v>196</v>
      </c>
      <c r="C6" s="741" t="s">
        <v>433</v>
      </c>
      <c r="D6" s="171">
        <f>MROUND((I6+I6*M6),5)</f>
        <v>170</v>
      </c>
      <c r="E6" s="172">
        <f>MROUND((J6+J6*M6),5)</f>
        <v>150</v>
      </c>
      <c r="F6" s="173">
        <f>MROUND((K6+K6*M6),5)</f>
        <v>160</v>
      </c>
      <c r="G6" s="174">
        <f>MROUND((L6+L6*M6),5)</f>
        <v>140</v>
      </c>
      <c r="I6" s="171">
        <v>130</v>
      </c>
      <c r="J6" s="172">
        <v>115</v>
      </c>
      <c r="K6" s="173">
        <v>120</v>
      </c>
      <c r="L6" s="174">
        <v>105</v>
      </c>
      <c r="M6" s="482">
        <f>инфляция!A2</f>
        <v>0.32590000000000002</v>
      </c>
    </row>
    <row r="7" spans="1:14" ht="30" x14ac:dyDescent="0.25">
      <c r="A7" s="19">
        <v>2</v>
      </c>
      <c r="B7" s="21" t="s">
        <v>197</v>
      </c>
      <c r="C7" s="36" t="s">
        <v>433</v>
      </c>
      <c r="D7" s="171">
        <f t="shared" ref="D7:D13" si="0">MROUND((I7+I7*M7),5)</f>
        <v>200</v>
      </c>
      <c r="E7" s="172">
        <f t="shared" ref="E7:E13" si="1">MROUND((J7+J7*M7),5)</f>
        <v>170</v>
      </c>
      <c r="F7" s="173">
        <f t="shared" ref="F7:F13" si="2">MROUND((K7+K7*M7),5)</f>
        <v>180</v>
      </c>
      <c r="G7" s="174">
        <f t="shared" ref="G7:G13" si="3">MROUND((L7+L7*M7),5)</f>
        <v>160</v>
      </c>
      <c r="I7" s="167">
        <v>150</v>
      </c>
      <c r="J7" s="169">
        <v>130</v>
      </c>
      <c r="K7" s="170">
        <v>135</v>
      </c>
      <c r="L7" s="168">
        <v>120</v>
      </c>
      <c r="M7" s="482">
        <f>M6</f>
        <v>0.32590000000000002</v>
      </c>
    </row>
    <row r="8" spans="1:14" x14ac:dyDescent="0.25">
      <c r="A8" s="19">
        <v>3</v>
      </c>
      <c r="B8" s="34" t="s">
        <v>198</v>
      </c>
      <c r="C8" s="36" t="s">
        <v>433</v>
      </c>
      <c r="D8" s="171">
        <f t="shared" si="0"/>
        <v>135</v>
      </c>
      <c r="E8" s="172">
        <f t="shared" si="1"/>
        <v>120</v>
      </c>
      <c r="F8" s="173">
        <f t="shared" si="2"/>
        <v>120</v>
      </c>
      <c r="G8" s="174">
        <f t="shared" si="3"/>
        <v>105</v>
      </c>
      <c r="I8" s="167">
        <v>100</v>
      </c>
      <c r="J8" s="169">
        <v>90</v>
      </c>
      <c r="K8" s="170">
        <v>90</v>
      </c>
      <c r="L8" s="168">
        <v>80</v>
      </c>
      <c r="M8" s="482">
        <f t="shared" ref="M8:M13" si="4">M7</f>
        <v>0.32590000000000002</v>
      </c>
    </row>
    <row r="9" spans="1:14" x14ac:dyDescent="0.25">
      <c r="A9" s="19">
        <v>4</v>
      </c>
      <c r="B9" s="34" t="s">
        <v>199</v>
      </c>
      <c r="C9" s="36" t="s">
        <v>433</v>
      </c>
      <c r="D9" s="171">
        <f t="shared" si="0"/>
        <v>65</v>
      </c>
      <c r="E9" s="172">
        <f t="shared" si="1"/>
        <v>60</v>
      </c>
      <c r="F9" s="173">
        <f t="shared" si="2"/>
        <v>60</v>
      </c>
      <c r="G9" s="174">
        <f t="shared" si="3"/>
        <v>55</v>
      </c>
      <c r="I9" s="167">
        <v>50</v>
      </c>
      <c r="J9" s="169">
        <v>45</v>
      </c>
      <c r="K9" s="170">
        <v>45</v>
      </c>
      <c r="L9" s="168">
        <v>40</v>
      </c>
      <c r="M9" s="482">
        <f t="shared" si="4"/>
        <v>0.32590000000000002</v>
      </c>
    </row>
    <row r="10" spans="1:14" ht="30" x14ac:dyDescent="0.25">
      <c r="A10" s="19">
        <v>5</v>
      </c>
      <c r="B10" s="34" t="s">
        <v>200</v>
      </c>
      <c r="C10" s="36" t="s">
        <v>433</v>
      </c>
      <c r="D10" s="171">
        <f t="shared" si="0"/>
        <v>100</v>
      </c>
      <c r="E10" s="172">
        <f t="shared" si="1"/>
        <v>85</v>
      </c>
      <c r="F10" s="173">
        <f t="shared" si="2"/>
        <v>95</v>
      </c>
      <c r="G10" s="174">
        <f t="shared" si="3"/>
        <v>80</v>
      </c>
      <c r="I10" s="167">
        <v>75</v>
      </c>
      <c r="J10" s="169">
        <v>65</v>
      </c>
      <c r="K10" s="170">
        <v>70</v>
      </c>
      <c r="L10" s="168">
        <v>60</v>
      </c>
      <c r="M10" s="482">
        <f t="shared" si="4"/>
        <v>0.32590000000000002</v>
      </c>
    </row>
    <row r="11" spans="1:14" ht="30" x14ac:dyDescent="0.25">
      <c r="A11" s="19">
        <v>6</v>
      </c>
      <c r="B11" s="180" t="s">
        <v>201</v>
      </c>
      <c r="C11" s="36" t="s">
        <v>433</v>
      </c>
      <c r="D11" s="171">
        <f t="shared" si="0"/>
        <v>330</v>
      </c>
      <c r="E11" s="172">
        <f t="shared" si="1"/>
        <v>290</v>
      </c>
      <c r="F11" s="173">
        <f t="shared" si="2"/>
        <v>300</v>
      </c>
      <c r="G11" s="174">
        <f t="shared" si="3"/>
        <v>265</v>
      </c>
      <c r="I11" s="167">
        <v>250</v>
      </c>
      <c r="J11" s="169">
        <v>220</v>
      </c>
      <c r="K11" s="170">
        <v>225</v>
      </c>
      <c r="L11" s="168">
        <v>200</v>
      </c>
      <c r="M11" s="482">
        <f t="shared" si="4"/>
        <v>0.32590000000000002</v>
      </c>
    </row>
    <row r="12" spans="1:14" ht="30" x14ac:dyDescent="0.25">
      <c r="A12" s="19">
        <v>7</v>
      </c>
      <c r="B12" s="791" t="s">
        <v>202</v>
      </c>
      <c r="C12" s="36" t="s">
        <v>433</v>
      </c>
      <c r="D12" s="171">
        <f t="shared" si="0"/>
        <v>145</v>
      </c>
      <c r="E12" s="172">
        <f t="shared" si="1"/>
        <v>135</v>
      </c>
      <c r="F12" s="173">
        <f t="shared" si="2"/>
        <v>135</v>
      </c>
      <c r="G12" s="174">
        <f t="shared" si="3"/>
        <v>120</v>
      </c>
      <c r="I12" s="167">
        <v>110</v>
      </c>
      <c r="J12" s="169">
        <v>100</v>
      </c>
      <c r="K12" s="170">
        <v>100</v>
      </c>
      <c r="L12" s="168">
        <v>90</v>
      </c>
      <c r="M12" s="482">
        <f t="shared" si="4"/>
        <v>0.32590000000000002</v>
      </c>
    </row>
    <row r="13" spans="1:14" ht="30" x14ac:dyDescent="0.25">
      <c r="A13" s="19">
        <v>8</v>
      </c>
      <c r="B13" s="179" t="s">
        <v>203</v>
      </c>
      <c r="C13" s="36" t="s">
        <v>433</v>
      </c>
      <c r="D13" s="171">
        <f t="shared" si="0"/>
        <v>200</v>
      </c>
      <c r="E13" s="172">
        <f t="shared" si="1"/>
        <v>180</v>
      </c>
      <c r="F13" s="173">
        <f t="shared" si="2"/>
        <v>180</v>
      </c>
      <c r="G13" s="174">
        <f t="shared" si="3"/>
        <v>160</v>
      </c>
      <c r="I13" s="167">
        <v>150</v>
      </c>
      <c r="J13" s="169">
        <v>135</v>
      </c>
      <c r="K13" s="170">
        <v>135</v>
      </c>
      <c r="L13" s="168">
        <v>120</v>
      </c>
      <c r="M13" s="482">
        <f t="shared" si="4"/>
        <v>0.32590000000000002</v>
      </c>
    </row>
    <row r="14" spans="1:14" ht="19.5" thickBot="1" x14ac:dyDescent="0.3">
      <c r="A14" s="773"/>
      <c r="B14" s="784"/>
      <c r="C14" s="779"/>
      <c r="D14" s="785"/>
      <c r="E14" s="785"/>
      <c r="F14" s="785"/>
      <c r="G14" s="785"/>
      <c r="I14" s="780"/>
      <c r="J14" s="781"/>
      <c r="K14" s="782"/>
      <c r="L14" s="783"/>
      <c r="M14" s="482"/>
    </row>
    <row r="15" spans="1:14" ht="22.5" thickTop="1" thickBot="1" x14ac:dyDescent="0.3">
      <c r="A15" s="181" t="s">
        <v>194</v>
      </c>
      <c r="B15" s="1038" t="s">
        <v>563</v>
      </c>
      <c r="C15" s="1039"/>
      <c r="D15" s="1039"/>
      <c r="E15" s="1039"/>
      <c r="F15" s="1039"/>
      <c r="G15" s="1040"/>
      <c r="I15" s="780"/>
      <c r="J15" s="781"/>
      <c r="K15" s="782"/>
      <c r="L15" s="783"/>
      <c r="M15" s="482"/>
    </row>
    <row r="16" spans="1:14" ht="20.25" thickTop="1" thickBot="1" x14ac:dyDescent="0.3">
      <c r="A16" s="776"/>
      <c r="B16" s="784"/>
      <c r="C16" s="779"/>
      <c r="D16" s="785"/>
      <c r="E16" s="785"/>
      <c r="F16" s="785"/>
      <c r="G16" s="785"/>
      <c r="I16" s="780"/>
      <c r="J16" s="781"/>
      <c r="K16" s="782"/>
      <c r="L16" s="783"/>
      <c r="M16" s="482"/>
    </row>
    <row r="17" spans="1:13" ht="18.75" customHeight="1" x14ac:dyDescent="0.3">
      <c r="A17" s="1049" t="s">
        <v>843</v>
      </c>
      <c r="B17" s="1050"/>
      <c r="C17" s="1050"/>
      <c r="D17" s="1050"/>
      <c r="E17" s="1050"/>
      <c r="F17" s="1050"/>
      <c r="G17" s="1051"/>
      <c r="I17" s="780"/>
      <c r="J17" s="781"/>
      <c r="K17" s="782"/>
      <c r="L17" s="783"/>
      <c r="M17" s="482"/>
    </row>
    <row r="18" spans="1:13" x14ac:dyDescent="0.25">
      <c r="A18" s="811" t="s">
        <v>1</v>
      </c>
      <c r="B18" s="775" t="s">
        <v>2</v>
      </c>
      <c r="C18" s="778" t="s">
        <v>704</v>
      </c>
      <c r="D18" s="1043" t="s">
        <v>4</v>
      </c>
      <c r="E18" s="1043"/>
      <c r="F18" s="1043"/>
      <c r="G18" s="1052"/>
    </row>
    <row r="19" spans="1:13" ht="27.75" customHeight="1" x14ac:dyDescent="0.25">
      <c r="A19" s="1056" t="s">
        <v>838</v>
      </c>
      <c r="B19" s="1057"/>
      <c r="C19" s="1057"/>
      <c r="D19" s="1057"/>
      <c r="E19" s="1057"/>
      <c r="F19" s="1057"/>
      <c r="G19" s="1058"/>
    </row>
    <row r="20" spans="1:13" x14ac:dyDescent="0.25">
      <c r="A20" s="802">
        <v>9</v>
      </c>
      <c r="B20" s="790" t="s">
        <v>839</v>
      </c>
      <c r="C20" s="774" t="s">
        <v>12</v>
      </c>
      <c r="D20" s="1045">
        <f>MROUND((D23*0.7),5)</f>
        <v>100</v>
      </c>
      <c r="E20" s="1045"/>
      <c r="F20" s="1045"/>
      <c r="G20" s="1046"/>
    </row>
    <row r="21" spans="1:13" x14ac:dyDescent="0.25">
      <c r="A21" s="802">
        <v>10</v>
      </c>
      <c r="B21" s="790" t="s">
        <v>840</v>
      </c>
      <c r="C21" s="774" t="s">
        <v>12</v>
      </c>
      <c r="D21" s="1045">
        <f>MROUND((D23*0.8),5)</f>
        <v>115</v>
      </c>
      <c r="E21" s="1045"/>
      <c r="F21" s="1045"/>
      <c r="G21" s="1046"/>
    </row>
    <row r="22" spans="1:13" x14ac:dyDescent="0.25">
      <c r="A22" s="802">
        <v>11</v>
      </c>
      <c r="B22" s="790" t="s">
        <v>841</v>
      </c>
      <c r="C22" s="774" t="s">
        <v>12</v>
      </c>
      <c r="D22" s="1045">
        <f>MROUND((D23*0.9),5)</f>
        <v>130</v>
      </c>
      <c r="E22" s="1045"/>
      <c r="F22" s="1045"/>
      <c r="G22" s="1046"/>
    </row>
    <row r="23" spans="1:13" ht="31.5" x14ac:dyDescent="0.25">
      <c r="A23" s="802">
        <v>12</v>
      </c>
      <c r="B23" s="790" t="s">
        <v>849</v>
      </c>
      <c r="C23" s="774" t="s">
        <v>433</v>
      </c>
      <c r="D23" s="1045">
        <f>D12</f>
        <v>145</v>
      </c>
      <c r="E23" s="1045"/>
      <c r="F23" s="1045"/>
      <c r="G23" s="1046"/>
    </row>
    <row r="24" spans="1:13" ht="27.75" customHeight="1" x14ac:dyDescent="0.25">
      <c r="A24" s="1053" t="s">
        <v>842</v>
      </c>
      <c r="B24" s="1054"/>
      <c r="C24" s="1054"/>
      <c r="D24" s="1054"/>
      <c r="E24" s="1054"/>
      <c r="F24" s="1054"/>
      <c r="G24" s="1055"/>
    </row>
    <row r="25" spans="1:13" x14ac:dyDescent="0.25">
      <c r="A25" s="802">
        <v>13</v>
      </c>
      <c r="B25" s="790" t="s">
        <v>839</v>
      </c>
      <c r="C25" s="774" t="s">
        <v>12</v>
      </c>
      <c r="D25" s="1045">
        <f>MROUND((D28*0.7),5)</f>
        <v>140</v>
      </c>
      <c r="E25" s="1045"/>
      <c r="F25" s="1045"/>
      <c r="G25" s="1046"/>
    </row>
    <row r="26" spans="1:13" x14ac:dyDescent="0.25">
      <c r="A26" s="802">
        <v>14</v>
      </c>
      <c r="B26" s="790" t="s">
        <v>840</v>
      </c>
      <c r="C26" s="774" t="s">
        <v>12</v>
      </c>
      <c r="D26" s="1045">
        <f>MROUND((D28*0.8),5)</f>
        <v>160</v>
      </c>
      <c r="E26" s="1045"/>
      <c r="F26" s="1045"/>
      <c r="G26" s="1046"/>
    </row>
    <row r="27" spans="1:13" x14ac:dyDescent="0.25">
      <c r="A27" s="802">
        <v>15</v>
      </c>
      <c r="B27" s="790" t="s">
        <v>841</v>
      </c>
      <c r="C27" s="774" t="s">
        <v>12</v>
      </c>
      <c r="D27" s="1045">
        <f>MROUND((D28*0.9),5)</f>
        <v>180</v>
      </c>
      <c r="E27" s="1045"/>
      <c r="F27" s="1045"/>
      <c r="G27" s="1046"/>
    </row>
    <row r="28" spans="1:13" ht="32.25" thickBot="1" x14ac:dyDescent="0.3">
      <c r="A28" s="804">
        <v>16</v>
      </c>
      <c r="B28" s="812" t="s">
        <v>849</v>
      </c>
      <c r="C28" s="813" t="s">
        <v>433</v>
      </c>
      <c r="D28" s="1047">
        <f>D13</f>
        <v>200</v>
      </c>
      <c r="E28" s="1047"/>
      <c r="F28" s="1047"/>
      <c r="G28" s="1048"/>
    </row>
    <row r="29" spans="1:13" ht="19.5" thickBot="1" x14ac:dyDescent="0.3"/>
    <row r="30" spans="1:13" ht="63" x14ac:dyDescent="0.25">
      <c r="A30" s="814" t="s">
        <v>1</v>
      </c>
      <c r="B30" s="815" t="s">
        <v>848</v>
      </c>
      <c r="C30" s="816" t="s">
        <v>704</v>
      </c>
      <c r="D30" s="798" t="s">
        <v>845</v>
      </c>
      <c r="E30" s="799" t="s">
        <v>844</v>
      </c>
      <c r="F30" s="800" t="s">
        <v>846</v>
      </c>
      <c r="G30" s="801" t="s">
        <v>847</v>
      </c>
    </row>
    <row r="31" spans="1:13" x14ac:dyDescent="0.25">
      <c r="A31" s="802">
        <v>17</v>
      </c>
      <c r="B31" s="792" t="s">
        <v>839</v>
      </c>
      <c r="C31" s="28" t="s">
        <v>12</v>
      </c>
      <c r="D31" s="794">
        <f>MROUND((D34*0.7),5)</f>
        <v>120</v>
      </c>
      <c r="E31" s="795">
        <f t="shared" ref="E31:G31" si="5">MROUND((E34*0.7),5)</f>
        <v>140</v>
      </c>
      <c r="F31" s="796">
        <f t="shared" si="5"/>
        <v>70</v>
      </c>
      <c r="G31" s="803">
        <f t="shared" si="5"/>
        <v>230</v>
      </c>
    </row>
    <row r="32" spans="1:13" x14ac:dyDescent="0.25">
      <c r="A32" s="802">
        <v>18</v>
      </c>
      <c r="B32" s="792" t="s">
        <v>840</v>
      </c>
      <c r="C32" s="28" t="s">
        <v>12</v>
      </c>
      <c r="D32" s="794">
        <f>MROUND((D34*0.8),5)</f>
        <v>135</v>
      </c>
      <c r="E32" s="795">
        <f t="shared" ref="E32:G32" si="6">MROUND((E34*0.8),5)</f>
        <v>160</v>
      </c>
      <c r="F32" s="796">
        <f t="shared" si="6"/>
        <v>80</v>
      </c>
      <c r="G32" s="803">
        <f t="shared" si="6"/>
        <v>265</v>
      </c>
    </row>
    <row r="33" spans="1:7" x14ac:dyDescent="0.25">
      <c r="A33" s="802">
        <v>19</v>
      </c>
      <c r="B33" s="792" t="s">
        <v>841</v>
      </c>
      <c r="C33" s="28" t="s">
        <v>12</v>
      </c>
      <c r="D33" s="794">
        <f>MROUND((D34*0.9),5)</f>
        <v>155</v>
      </c>
      <c r="E33" s="795">
        <f t="shared" ref="E33:G33" si="7">MROUND((E34*0.9),5)</f>
        <v>180</v>
      </c>
      <c r="F33" s="796">
        <f t="shared" si="7"/>
        <v>90</v>
      </c>
      <c r="G33" s="803">
        <f t="shared" si="7"/>
        <v>295</v>
      </c>
    </row>
    <row r="34" spans="1:7" ht="24" customHeight="1" thickBot="1" x14ac:dyDescent="0.3">
      <c r="A34" s="804">
        <v>20</v>
      </c>
      <c r="B34" s="805" t="s">
        <v>849</v>
      </c>
      <c r="C34" s="806" t="s">
        <v>433</v>
      </c>
      <c r="D34" s="807">
        <f>D6</f>
        <v>170</v>
      </c>
      <c r="E34" s="808">
        <f>D7</f>
        <v>200</v>
      </c>
      <c r="F34" s="809">
        <f>D10</f>
        <v>100</v>
      </c>
      <c r="G34" s="810">
        <f>D11</f>
        <v>330</v>
      </c>
    </row>
    <row r="35" spans="1:7" x14ac:dyDescent="0.25">
      <c r="F35" s="797"/>
    </row>
    <row r="37" spans="1:7" ht="18.75" customHeight="1" x14ac:dyDescent="0.25">
      <c r="A37" s="858" t="s">
        <v>668</v>
      </c>
      <c r="B37" s="858"/>
      <c r="C37" s="858"/>
      <c r="D37" s="858"/>
      <c r="E37" s="858"/>
      <c r="F37" s="858"/>
      <c r="G37" s="858"/>
    </row>
  </sheetData>
  <mergeCells count="21">
    <mergeCell ref="A17:G17"/>
    <mergeCell ref="D18:G18"/>
    <mergeCell ref="A24:G24"/>
    <mergeCell ref="A19:G19"/>
    <mergeCell ref="D23:G23"/>
    <mergeCell ref="D20:G20"/>
    <mergeCell ref="D21:G21"/>
    <mergeCell ref="D22:G22"/>
    <mergeCell ref="D25:G25"/>
    <mergeCell ref="D26:G26"/>
    <mergeCell ref="D27:G27"/>
    <mergeCell ref="D28:G28"/>
    <mergeCell ref="A37:G37"/>
    <mergeCell ref="A2:G2"/>
    <mergeCell ref="B15:G15"/>
    <mergeCell ref="A3:A5"/>
    <mergeCell ref="B3:B5"/>
    <mergeCell ref="C3:C5"/>
    <mergeCell ref="D4:E4"/>
    <mergeCell ref="D3:G3"/>
    <mergeCell ref="F4:G4"/>
  </mergeCells>
  <hyperlinks>
    <hyperlink ref="H2" location="СОДЕРЖАНИЕ!A1" display="назад к содержанию" xr:uid="{00000000-0004-0000-1100-000000000000}"/>
    <hyperlink ref="N2" location="Спасибо!A3" display="Спасибо!" xr:uid="{3F1B6D97-A7C4-9643-AD3A-6063D59EA521}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6"/>
  <sheetViews>
    <sheetView workbookViewId="0">
      <selection activeCell="D39" sqref="D39"/>
    </sheetView>
  </sheetViews>
  <sheetFormatPr defaultRowHeight="18.75" x14ac:dyDescent="0.25"/>
  <cols>
    <col min="1" max="1" width="3.85546875" style="20" bestFit="1" customWidth="1"/>
    <col min="2" max="2" width="44.140625" style="146" customWidth="1"/>
    <col min="3" max="3" width="10.7109375" style="146" customWidth="1"/>
    <col min="4" max="6" width="11.7109375" style="187" bestFit="1" customWidth="1"/>
    <col min="7" max="7" width="14.140625" style="187" bestFit="1" customWidth="1"/>
    <col min="8" max="8" width="13.42578125" customWidth="1"/>
    <col min="9" max="12" width="9.85546875" hidden="1" customWidth="1"/>
    <col min="13" max="13" width="0" hidden="1" customWidth="1"/>
  </cols>
  <sheetData>
    <row r="1" spans="1:14" ht="19.5" thickBot="1" x14ac:dyDescent="0.3">
      <c r="B1" s="754" t="str">
        <f>'2.7 АКЗ'!B1</f>
        <v>Актуально на 01 апреля 2022</v>
      </c>
    </row>
    <row r="2" spans="1:14" ht="30.75" thickBot="1" x14ac:dyDescent="0.3">
      <c r="A2" s="1036" t="s">
        <v>208</v>
      </c>
      <c r="B2" s="894"/>
      <c r="C2" s="894"/>
      <c r="D2" s="894"/>
      <c r="E2" s="894"/>
      <c r="F2" s="894"/>
      <c r="G2" s="1069"/>
      <c r="H2" s="236" t="s">
        <v>302</v>
      </c>
      <c r="N2" s="579" t="s">
        <v>622</v>
      </c>
    </row>
    <row r="3" spans="1:14" ht="23.25" x14ac:dyDescent="0.25">
      <c r="A3" s="995" t="s">
        <v>1</v>
      </c>
      <c r="B3" s="994" t="s">
        <v>2</v>
      </c>
      <c r="C3" s="1071" t="s">
        <v>3</v>
      </c>
      <c r="D3" s="1070" t="s">
        <v>210</v>
      </c>
      <c r="E3" s="1070"/>
      <c r="F3" s="1070"/>
      <c r="G3" s="1070"/>
      <c r="N3" s="18"/>
    </row>
    <row r="4" spans="1:14" ht="18.75" customHeight="1" x14ac:dyDescent="0.25">
      <c r="A4" s="995"/>
      <c r="B4" s="994"/>
      <c r="C4" s="1071"/>
      <c r="D4" s="196" t="s">
        <v>211</v>
      </c>
      <c r="E4" s="197" t="s">
        <v>212</v>
      </c>
      <c r="F4" s="198" t="s">
        <v>213</v>
      </c>
      <c r="G4" s="199" t="s">
        <v>214</v>
      </c>
    </row>
    <row r="5" spans="1:14" ht="37.5" x14ac:dyDescent="0.25">
      <c r="A5" s="123">
        <v>1</v>
      </c>
      <c r="B5" s="189" t="s">
        <v>230</v>
      </c>
      <c r="C5" s="183" t="s">
        <v>209</v>
      </c>
      <c r="D5" s="194">
        <f>MROUND((I5+I5*M5),100)</f>
        <v>2700</v>
      </c>
      <c r="E5" s="195">
        <f>MROUND((J5+J5*M5),100)</f>
        <v>3000</v>
      </c>
      <c r="F5" s="194">
        <f>MROUND((K5+K5*M5),100)</f>
        <v>3700</v>
      </c>
      <c r="G5" s="195">
        <f>MROUND((L5+L5*M5),100)</f>
        <v>4600</v>
      </c>
      <c r="I5" s="194">
        <v>2000</v>
      </c>
      <c r="J5" s="195">
        <v>2300</v>
      </c>
      <c r="K5" s="194">
        <v>2800</v>
      </c>
      <c r="L5" s="195">
        <v>3500</v>
      </c>
      <c r="M5" s="482">
        <f>инфляция!A2</f>
        <v>0.32590000000000002</v>
      </c>
    </row>
    <row r="6" spans="1:14" ht="37.5" x14ac:dyDescent="0.25">
      <c r="A6" s="185">
        <v>2</v>
      </c>
      <c r="B6" s="189" t="s">
        <v>231</v>
      </c>
      <c r="C6" s="182" t="s">
        <v>209</v>
      </c>
      <c r="D6" s="194">
        <f>MROUND((I6+I6*M6),100)</f>
        <v>3400</v>
      </c>
      <c r="E6" s="195">
        <f>MROUND((J6+J6*M6),100)</f>
        <v>4000</v>
      </c>
      <c r="F6" s="194">
        <f>MROUND((K6+K6*M6),100)</f>
        <v>4900</v>
      </c>
      <c r="G6" s="195">
        <f>MROUND((L6+L6*M6),100)</f>
        <v>6000</v>
      </c>
      <c r="I6" s="192">
        <v>2600</v>
      </c>
      <c r="J6" s="193">
        <v>3000</v>
      </c>
      <c r="K6" s="192">
        <v>3700</v>
      </c>
      <c r="L6" s="193">
        <v>4500</v>
      </c>
      <c r="M6" s="482">
        <f>M5</f>
        <v>0.32590000000000002</v>
      </c>
    </row>
    <row r="7" spans="1:14" ht="29.25" customHeight="1" x14ac:dyDescent="0.25">
      <c r="A7" s="1072"/>
      <c r="B7" s="1073"/>
      <c r="C7" s="1073"/>
      <c r="D7" s="1073"/>
      <c r="E7" s="1073"/>
      <c r="F7" s="1073"/>
      <c r="G7" s="1074"/>
      <c r="M7" s="482">
        <f t="shared" ref="M7:M10" si="0">M6</f>
        <v>0.32590000000000002</v>
      </c>
    </row>
    <row r="8" spans="1:14" ht="29.25" customHeight="1" x14ac:dyDescent="0.25">
      <c r="A8" s="995" t="s">
        <v>1</v>
      </c>
      <c r="B8" s="994" t="s">
        <v>2</v>
      </c>
      <c r="C8" s="1064" t="s">
        <v>3</v>
      </c>
      <c r="D8" s="1066" t="s">
        <v>216</v>
      </c>
      <c r="E8" s="1067"/>
      <c r="F8" s="1067"/>
      <c r="G8" s="1068"/>
      <c r="M8" s="482">
        <f t="shared" si="0"/>
        <v>0.32590000000000002</v>
      </c>
    </row>
    <row r="9" spans="1:14" ht="29.25" customHeight="1" x14ac:dyDescent="0.25">
      <c r="A9" s="995"/>
      <c r="B9" s="994"/>
      <c r="C9" s="1065"/>
      <c r="D9" s="200" t="s">
        <v>217</v>
      </c>
      <c r="E9" s="201" t="s">
        <v>218</v>
      </c>
      <c r="F9" s="202" t="s">
        <v>219</v>
      </c>
      <c r="G9" s="203" t="s">
        <v>220</v>
      </c>
      <c r="M9" s="482">
        <f t="shared" si="0"/>
        <v>0.32590000000000002</v>
      </c>
    </row>
    <row r="10" spans="1:14" ht="30" x14ac:dyDescent="0.25">
      <c r="A10" s="28">
        <v>3</v>
      </c>
      <c r="B10" s="189" t="s">
        <v>215</v>
      </c>
      <c r="C10" s="182" t="s">
        <v>209</v>
      </c>
      <c r="D10" s="192">
        <f>MROUND((I10+I10*M10),100)</f>
        <v>1900</v>
      </c>
      <c r="E10" s="193">
        <f>MROUND((J10+J10*M10),100)</f>
        <v>2400</v>
      </c>
      <c r="F10" s="192">
        <f>MROUND((K10+K10*M10),100)</f>
        <v>2800</v>
      </c>
      <c r="G10" s="193">
        <f>MROUND((L10+L10*M10),100)</f>
        <v>3400</v>
      </c>
      <c r="I10" s="192">
        <v>1400</v>
      </c>
      <c r="J10" s="193">
        <v>1800</v>
      </c>
      <c r="K10" s="192">
        <v>2100</v>
      </c>
      <c r="L10" s="193">
        <v>2600</v>
      </c>
      <c r="M10" s="482">
        <f t="shared" si="0"/>
        <v>0.32590000000000002</v>
      </c>
    </row>
    <row r="11" spans="1:14" s="1077" customFormat="1" ht="15" customHeight="1" x14ac:dyDescent="0.25">
      <c r="A11" s="1075"/>
      <c r="B11" s="1076"/>
      <c r="C11" s="1076"/>
      <c r="D11" s="1076"/>
      <c r="E11" s="1076"/>
      <c r="F11" s="1076"/>
      <c r="G11" s="1076"/>
    </row>
    <row r="12" spans="1:14" ht="28.5" customHeight="1" x14ac:dyDescent="0.25">
      <c r="A12" s="995" t="s">
        <v>1</v>
      </c>
      <c r="B12" s="994" t="s">
        <v>2</v>
      </c>
      <c r="C12" s="1064" t="s">
        <v>3</v>
      </c>
      <c r="D12" s="1078" t="s">
        <v>221</v>
      </c>
      <c r="E12" s="1079"/>
      <c r="F12" s="1079"/>
      <c r="G12" s="1080"/>
    </row>
    <row r="13" spans="1:14" ht="31.5" x14ac:dyDescent="0.25">
      <c r="A13" s="995"/>
      <c r="B13" s="994"/>
      <c r="C13" s="1065"/>
      <c r="D13" s="200" t="s">
        <v>222</v>
      </c>
      <c r="E13" s="201" t="s">
        <v>227</v>
      </c>
      <c r="F13" s="202" t="s">
        <v>228</v>
      </c>
      <c r="G13" s="203" t="s">
        <v>229</v>
      </c>
    </row>
    <row r="14" spans="1:14" ht="31.5" x14ac:dyDescent="0.25">
      <c r="A14" s="19">
        <v>4</v>
      </c>
      <c r="B14" s="188" t="s">
        <v>540</v>
      </c>
      <c r="C14" s="182" t="s">
        <v>209</v>
      </c>
      <c r="D14" s="192">
        <f>MROUND((I14+I14*M14),100)</f>
        <v>1100</v>
      </c>
      <c r="E14" s="193">
        <f>MROUND((J14+J14*M14),100)</f>
        <v>1500</v>
      </c>
      <c r="F14" s="192">
        <f>MROUND((K14+K14*M14),100)</f>
        <v>1700</v>
      </c>
      <c r="G14" s="193">
        <f>MROUND((L14+L14*M14),100)</f>
        <v>2100</v>
      </c>
      <c r="I14" s="192">
        <v>850</v>
      </c>
      <c r="J14" s="193">
        <v>1150</v>
      </c>
      <c r="K14" s="192">
        <v>1300</v>
      </c>
      <c r="L14" s="193">
        <v>1600</v>
      </c>
      <c r="M14" s="482">
        <f>M10</f>
        <v>0.32590000000000002</v>
      </c>
    </row>
    <row r="15" spans="1:14" ht="47.25" x14ac:dyDescent="0.25">
      <c r="A15" s="19">
        <v>5</v>
      </c>
      <c r="B15" s="188" t="s">
        <v>541</v>
      </c>
      <c r="C15" s="182" t="s">
        <v>209</v>
      </c>
      <c r="D15" s="192">
        <f>MROUND((I15+I15*M15),100)</f>
        <v>1700</v>
      </c>
      <c r="E15" s="193">
        <f>MROUND((J15+J15*M15),100)</f>
        <v>2300</v>
      </c>
      <c r="F15" s="192">
        <f>MROUND((K15+K15*M15),100)</f>
        <v>2600</v>
      </c>
      <c r="G15" s="193">
        <f>MROUND((L15+L15*M15),100)</f>
        <v>3200</v>
      </c>
      <c r="I15" s="192">
        <v>1250</v>
      </c>
      <c r="J15" s="193">
        <v>1700</v>
      </c>
      <c r="K15" s="192">
        <v>1950</v>
      </c>
      <c r="L15" s="193">
        <v>2400</v>
      </c>
      <c r="M15" s="482">
        <f>M14</f>
        <v>0.32590000000000002</v>
      </c>
    </row>
    <row r="16" spans="1:14" ht="39.75" customHeight="1" x14ac:dyDescent="0.25">
      <c r="A16" s="19">
        <v>6</v>
      </c>
      <c r="B16" s="188" t="s">
        <v>223</v>
      </c>
      <c r="C16" s="182" t="s">
        <v>35</v>
      </c>
      <c r="D16" s="192">
        <f>MROUND((I16+I16*M16),100)</f>
        <v>5300</v>
      </c>
      <c r="E16" s="193">
        <f>MROUND((J16+J16*M16),100)</f>
        <v>6600</v>
      </c>
      <c r="F16" s="192">
        <f>MROUND((K16+K16*M16),100)</f>
        <v>8000</v>
      </c>
      <c r="G16" s="193">
        <f>MROUND((L16+L16*M16),100)</f>
        <v>9300</v>
      </c>
      <c r="I16" s="192">
        <v>4000</v>
      </c>
      <c r="J16" s="193">
        <v>5000</v>
      </c>
      <c r="K16" s="192">
        <v>6000</v>
      </c>
      <c r="L16" s="193">
        <v>7000</v>
      </c>
      <c r="M16" s="482">
        <f t="shared" ref="M16:M17" si="1">M15</f>
        <v>0.32590000000000002</v>
      </c>
    </row>
    <row r="17" spans="1:13" ht="38.25" customHeight="1" x14ac:dyDescent="0.25">
      <c r="A17" s="19">
        <v>7</v>
      </c>
      <c r="B17" s="190" t="s">
        <v>224</v>
      </c>
      <c r="C17" s="191" t="s">
        <v>12</v>
      </c>
      <c r="D17" s="1059">
        <f>MROUND((I17+I17*M17),50)</f>
        <v>550</v>
      </c>
      <c r="E17" s="1060"/>
      <c r="F17" s="1060"/>
      <c r="G17" s="1061"/>
      <c r="I17" s="1059">
        <v>400</v>
      </c>
      <c r="J17" s="1060"/>
      <c r="K17" s="1060"/>
      <c r="L17" s="1061"/>
      <c r="M17" s="482">
        <f t="shared" si="1"/>
        <v>0.32590000000000002</v>
      </c>
    </row>
    <row r="18" spans="1:13" x14ac:dyDescent="0.25">
      <c r="D18" s="186"/>
      <c r="E18" s="186"/>
      <c r="F18" s="186"/>
      <c r="G18" s="186"/>
    </row>
    <row r="19" spans="1:13" ht="27.75" customHeight="1" x14ac:dyDescent="0.25">
      <c r="A19" s="184" t="s">
        <v>194</v>
      </c>
      <c r="B19" s="1063" t="s">
        <v>225</v>
      </c>
      <c r="C19" s="1063"/>
      <c r="D19" s="1063"/>
      <c r="E19" s="1063"/>
      <c r="F19" s="1063"/>
      <c r="G19" s="1063"/>
    </row>
    <row r="20" spans="1:13" ht="18.75" customHeight="1" x14ac:dyDescent="0.25">
      <c r="A20" s="184" t="s">
        <v>194</v>
      </c>
      <c r="B20" s="1063" t="s">
        <v>226</v>
      </c>
      <c r="C20" s="1063"/>
      <c r="D20" s="1063"/>
      <c r="E20" s="1063"/>
      <c r="F20" s="1063"/>
      <c r="G20" s="1063"/>
    </row>
    <row r="21" spans="1:13" x14ac:dyDescent="0.25">
      <c r="D21" s="186"/>
      <c r="E21" s="186"/>
      <c r="F21" s="186"/>
      <c r="G21" s="186"/>
    </row>
    <row r="22" spans="1:13" ht="42" customHeight="1" x14ac:dyDescent="0.25">
      <c r="A22" s="69" t="s">
        <v>137</v>
      </c>
      <c r="B22" s="1062" t="s">
        <v>780</v>
      </c>
      <c r="C22" s="1062"/>
      <c r="D22" s="1062"/>
      <c r="E22" s="1062"/>
      <c r="F22" s="1062"/>
      <c r="G22" s="1062"/>
    </row>
    <row r="23" spans="1:13" x14ac:dyDescent="0.25">
      <c r="D23" s="186"/>
      <c r="E23" s="186"/>
      <c r="F23" s="186"/>
      <c r="G23" s="186"/>
    </row>
    <row r="24" spans="1:13" ht="18.75" customHeight="1" x14ac:dyDescent="0.25">
      <c r="A24" s="858" t="s">
        <v>668</v>
      </c>
      <c r="B24" s="858"/>
      <c r="C24" s="858"/>
      <c r="D24" s="858"/>
      <c r="E24" s="858"/>
      <c r="F24" s="858"/>
      <c r="G24" s="858"/>
    </row>
    <row r="25" spans="1:13" x14ac:dyDescent="0.25">
      <c r="D25" s="186"/>
      <c r="E25" s="186"/>
      <c r="F25" s="186"/>
      <c r="G25" s="186"/>
    </row>
    <row r="26" spans="1:13" x14ac:dyDescent="0.25">
      <c r="D26" s="186"/>
      <c r="E26" s="186"/>
      <c r="F26" s="186"/>
      <c r="G26" s="186"/>
    </row>
  </sheetData>
  <mergeCells count="21">
    <mergeCell ref="I17:L17"/>
    <mergeCell ref="C8:C9"/>
    <mergeCell ref="D8:G8"/>
    <mergeCell ref="A2:G2"/>
    <mergeCell ref="B8:B9"/>
    <mergeCell ref="A8:A9"/>
    <mergeCell ref="D3:G3"/>
    <mergeCell ref="C3:C4"/>
    <mergeCell ref="B3:B4"/>
    <mergeCell ref="A3:A4"/>
    <mergeCell ref="A7:G7"/>
    <mergeCell ref="A11:XFD11"/>
    <mergeCell ref="A12:A13"/>
    <mergeCell ref="B12:B13"/>
    <mergeCell ref="C12:C13"/>
    <mergeCell ref="D12:G12"/>
    <mergeCell ref="A24:G24"/>
    <mergeCell ref="D17:G17"/>
    <mergeCell ref="B22:G22"/>
    <mergeCell ref="B20:G20"/>
    <mergeCell ref="B19:G19"/>
  </mergeCells>
  <hyperlinks>
    <hyperlink ref="H2" location="СОДЕРЖАНИЕ!A1" display="назад к содержанию" xr:uid="{00000000-0004-0000-1200-000000000000}"/>
    <hyperlink ref="N2" location="Спасибо!A3" display="Спасибо!" xr:uid="{9DF6E6A4-05EC-F840-9B32-62B1062E5765}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9"/>
  <sheetViews>
    <sheetView workbookViewId="0">
      <selection activeCell="C30" sqref="C30"/>
    </sheetView>
  </sheetViews>
  <sheetFormatPr defaultRowHeight="15" x14ac:dyDescent="0.25"/>
  <cols>
    <col min="1" max="1" width="3.85546875" bestFit="1" customWidth="1"/>
    <col min="2" max="2" width="44.140625" style="18" customWidth="1"/>
    <col min="3" max="3" width="7.7109375" bestFit="1" customWidth="1"/>
    <col min="4" max="4" width="16.7109375" customWidth="1"/>
    <col min="5" max="5" width="12.7109375" customWidth="1"/>
    <col min="6" max="7" width="8.5703125" hidden="1" customWidth="1"/>
  </cols>
  <sheetData>
    <row r="1" spans="1:8" ht="15.75" thickBot="1" x14ac:dyDescent="0.3">
      <c r="B1" s="755" t="str">
        <f>'2.8 Маркировочная покраска'!B1</f>
        <v>Актуально на 01 апреля 2022</v>
      </c>
    </row>
    <row r="2" spans="1:8" ht="30.75" thickBot="1" x14ac:dyDescent="0.4">
      <c r="A2" s="1081" t="s">
        <v>248</v>
      </c>
      <c r="B2" s="1082"/>
      <c r="C2" s="1082"/>
      <c r="D2" s="1082"/>
      <c r="E2" s="236" t="s">
        <v>302</v>
      </c>
      <c r="H2" s="579" t="s">
        <v>622</v>
      </c>
    </row>
    <row r="3" spans="1:8" x14ac:dyDescent="0.25">
      <c r="A3" s="1083" t="s">
        <v>1</v>
      </c>
      <c r="B3" s="1041" t="s">
        <v>2</v>
      </c>
      <c r="C3" s="995" t="s">
        <v>3</v>
      </c>
      <c r="D3" s="995" t="s">
        <v>4</v>
      </c>
      <c r="H3" s="18"/>
    </row>
    <row r="4" spans="1:8" x14ac:dyDescent="0.25">
      <c r="A4" s="1083"/>
      <c r="B4" s="1041"/>
      <c r="C4" s="995"/>
      <c r="D4" s="995"/>
    </row>
    <row r="5" spans="1:8" ht="21.75" customHeight="1" x14ac:dyDescent="0.25">
      <c r="A5" s="1084"/>
      <c r="B5" s="1041"/>
      <c r="C5" s="995"/>
      <c r="D5" s="995"/>
    </row>
    <row r="6" spans="1:8" ht="30" x14ac:dyDescent="0.25">
      <c r="A6" s="207">
        <v>1</v>
      </c>
      <c r="B6" s="35" t="s">
        <v>249</v>
      </c>
      <c r="C6" s="205" t="s">
        <v>433</v>
      </c>
      <c r="D6" s="208">
        <f>MROUND((F6+F6*G6),10)</f>
        <v>290</v>
      </c>
      <c r="F6" s="501">
        <v>220</v>
      </c>
      <c r="G6" s="482">
        <f>инфляция!A2</f>
        <v>0.32590000000000002</v>
      </c>
    </row>
    <row r="7" spans="1:8" ht="45" x14ac:dyDescent="0.25">
      <c r="A7" s="207">
        <v>2</v>
      </c>
      <c r="B7" s="35" t="s">
        <v>253</v>
      </c>
      <c r="C7" s="205" t="s">
        <v>433</v>
      </c>
      <c r="D7" s="511">
        <f t="shared" ref="D7:D10" si="0">MROUND((F7+F7*G7),10)</f>
        <v>400</v>
      </c>
      <c r="F7" s="501">
        <v>300</v>
      </c>
      <c r="G7" s="482">
        <f>G6</f>
        <v>0.32590000000000002</v>
      </c>
    </row>
    <row r="8" spans="1:8" ht="45" x14ac:dyDescent="0.25">
      <c r="A8" s="207">
        <v>3</v>
      </c>
      <c r="B8" s="35" t="s">
        <v>250</v>
      </c>
      <c r="C8" s="205" t="s">
        <v>433</v>
      </c>
      <c r="D8" s="511">
        <f t="shared" si="0"/>
        <v>530</v>
      </c>
      <c r="F8" s="501">
        <v>400</v>
      </c>
      <c r="G8" s="482">
        <f t="shared" ref="G8:G11" si="1">G7</f>
        <v>0.32590000000000002</v>
      </c>
    </row>
    <row r="9" spans="1:8" ht="30" x14ac:dyDescent="0.25">
      <c r="A9" s="207">
        <v>4</v>
      </c>
      <c r="B9" s="35" t="s">
        <v>252</v>
      </c>
      <c r="C9" s="205" t="s">
        <v>433</v>
      </c>
      <c r="D9" s="511">
        <f t="shared" si="0"/>
        <v>130</v>
      </c>
      <c r="F9" s="501">
        <v>100</v>
      </c>
      <c r="G9" s="482">
        <f t="shared" si="1"/>
        <v>0.32590000000000002</v>
      </c>
    </row>
    <row r="10" spans="1:8" ht="60" x14ac:dyDescent="0.25">
      <c r="A10" s="207">
        <v>5</v>
      </c>
      <c r="B10" s="35" t="s">
        <v>251</v>
      </c>
      <c r="C10" s="210" t="s">
        <v>433</v>
      </c>
      <c r="D10" s="511">
        <f t="shared" si="0"/>
        <v>400</v>
      </c>
      <c r="F10" s="501">
        <v>300</v>
      </c>
      <c r="G10" s="482">
        <f t="shared" si="1"/>
        <v>0.32590000000000002</v>
      </c>
    </row>
    <row r="11" spans="1:8" ht="30" x14ac:dyDescent="0.25">
      <c r="A11" s="724">
        <v>6</v>
      </c>
      <c r="B11" s="725" t="s">
        <v>775</v>
      </c>
      <c r="C11" s="726" t="s">
        <v>12</v>
      </c>
      <c r="D11" s="727">
        <f>MROUND((F11+F11*G11),10)</f>
        <v>330</v>
      </c>
      <c r="F11" s="213">
        <v>250</v>
      </c>
      <c r="G11" s="482">
        <f t="shared" si="1"/>
        <v>0.32590000000000002</v>
      </c>
    </row>
    <row r="12" spans="1:8" x14ac:dyDescent="0.25">
      <c r="A12" s="1085" t="s">
        <v>776</v>
      </c>
      <c r="B12" s="1085"/>
      <c r="C12" s="1085"/>
      <c r="D12" s="1085"/>
    </row>
    <row r="13" spans="1:8" ht="30" x14ac:dyDescent="0.25">
      <c r="A13" s="28">
        <v>7</v>
      </c>
      <c r="B13" s="26" t="s">
        <v>778</v>
      </c>
      <c r="C13" s="28" t="s">
        <v>433</v>
      </c>
      <c r="D13" s="728">
        <f>MROUND(0.7*16*D11,50)</f>
        <v>3700</v>
      </c>
    </row>
    <row r="14" spans="1:8" ht="30" x14ac:dyDescent="0.25">
      <c r="A14" s="28">
        <v>8</v>
      </c>
      <c r="B14" s="26" t="s">
        <v>777</v>
      </c>
      <c r="C14" s="28" t="s">
        <v>433</v>
      </c>
      <c r="D14" s="728">
        <f>MROUND(0.7*13*D11,50)</f>
        <v>3000</v>
      </c>
    </row>
    <row r="15" spans="1:8" ht="30" x14ac:dyDescent="0.25">
      <c r="A15" s="28">
        <v>9</v>
      </c>
      <c r="B15" s="26" t="s">
        <v>779</v>
      </c>
      <c r="C15" s="28" t="s">
        <v>433</v>
      </c>
      <c r="D15" s="728">
        <f>MROUND(0.7*10*D11,50)</f>
        <v>2300</v>
      </c>
    </row>
    <row r="17" spans="1:4" ht="27.75" customHeight="1" x14ac:dyDescent="0.25">
      <c r="A17" s="209" t="s">
        <v>135</v>
      </c>
      <c r="B17" s="1063" t="s">
        <v>255</v>
      </c>
      <c r="C17" s="1063"/>
      <c r="D17" s="1063"/>
    </row>
    <row r="19" spans="1:4" x14ac:dyDescent="0.25">
      <c r="A19" s="858" t="s">
        <v>668</v>
      </c>
      <c r="B19" s="858"/>
      <c r="C19" s="858"/>
      <c r="D19" s="858"/>
    </row>
  </sheetData>
  <mergeCells count="8">
    <mergeCell ref="A19:D19"/>
    <mergeCell ref="B17:D17"/>
    <mergeCell ref="A2:D2"/>
    <mergeCell ref="D3:D5"/>
    <mergeCell ref="A3:A5"/>
    <mergeCell ref="B3:B5"/>
    <mergeCell ref="C3:C5"/>
    <mergeCell ref="A12:D12"/>
  </mergeCells>
  <hyperlinks>
    <hyperlink ref="E2" location="СОДЕРЖАНИЕ!A1" display="назад к содержанию" xr:uid="{00000000-0004-0000-1300-000000000000}"/>
    <hyperlink ref="H2" location="Спасибо!A3" display="Спасибо!" xr:uid="{4591540C-74DD-1441-9C9A-3F36C568E5A1}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5"/>
  <sheetViews>
    <sheetView workbookViewId="0">
      <selection activeCell="B19" sqref="B19"/>
    </sheetView>
  </sheetViews>
  <sheetFormatPr defaultRowHeight="15" x14ac:dyDescent="0.25"/>
  <cols>
    <col min="1" max="1" width="3.85546875" bestFit="1" customWidth="1"/>
    <col min="2" max="2" width="47.140625" style="18" customWidth="1"/>
    <col min="3" max="3" width="7.7109375" bestFit="1" customWidth="1"/>
    <col min="4" max="4" width="9.7109375" bestFit="1" customWidth="1"/>
    <col min="5" max="5" width="9.140625" customWidth="1"/>
    <col min="6" max="6" width="9.42578125" bestFit="1" customWidth="1"/>
    <col min="7" max="7" width="9.140625" customWidth="1"/>
    <col min="8" max="8" width="14.28515625" customWidth="1"/>
    <col min="9" max="13" width="8.5703125" hidden="1" customWidth="1"/>
  </cols>
  <sheetData>
    <row r="1" spans="1:14" ht="15.75" thickBot="1" x14ac:dyDescent="0.3">
      <c r="B1" s="755" t="str">
        <f>'2.9 Очистка фасада'!B1</f>
        <v>Актуально на 01 апреля 2022</v>
      </c>
    </row>
    <row r="2" spans="1:14" ht="30.75" thickBot="1" x14ac:dyDescent="0.4">
      <c r="A2" s="1081" t="s">
        <v>256</v>
      </c>
      <c r="B2" s="1082"/>
      <c r="C2" s="1082"/>
      <c r="D2" s="1082"/>
      <c r="E2" s="1082"/>
      <c r="F2" s="1082"/>
      <c r="G2" s="1082"/>
      <c r="H2" s="236" t="s">
        <v>302</v>
      </c>
      <c r="N2" s="579" t="s">
        <v>622</v>
      </c>
    </row>
    <row r="3" spans="1:14" x14ac:dyDescent="0.25">
      <c r="A3" s="1094" t="s">
        <v>1</v>
      </c>
      <c r="B3" s="1096" t="s">
        <v>2</v>
      </c>
      <c r="C3" s="1097" t="s">
        <v>3</v>
      </c>
      <c r="D3" s="1091" t="s">
        <v>4</v>
      </c>
      <c r="E3" s="1092"/>
      <c r="F3" s="1092"/>
      <c r="G3" s="1093"/>
      <c r="N3" s="18"/>
    </row>
    <row r="4" spans="1:14" x14ac:dyDescent="0.25">
      <c r="A4" s="1094"/>
      <c r="B4" s="1096"/>
      <c r="C4" s="1097"/>
      <c r="D4" s="1098" t="s">
        <v>259</v>
      </c>
      <c r="E4" s="1099"/>
      <c r="F4" s="1089" t="s">
        <v>260</v>
      </c>
      <c r="G4" s="1090"/>
    </row>
    <row r="5" spans="1:14" ht="21.75" customHeight="1" x14ac:dyDescent="0.25">
      <c r="A5" s="1095"/>
      <c r="B5" s="1096"/>
      <c r="C5" s="1097"/>
      <c r="D5" s="120" t="s">
        <v>261</v>
      </c>
      <c r="E5" s="28" t="s">
        <v>262</v>
      </c>
      <c r="F5" s="28" t="s">
        <v>261</v>
      </c>
      <c r="G5" s="28" t="s">
        <v>262</v>
      </c>
    </row>
    <row r="6" spans="1:14" ht="30" x14ac:dyDescent="0.3">
      <c r="A6" s="207">
        <v>1</v>
      </c>
      <c r="B6" s="215" t="s">
        <v>257</v>
      </c>
      <c r="C6" s="214" t="s">
        <v>433</v>
      </c>
      <c r="D6" s="216">
        <f>MROUND((I6+I6*M6),10)</f>
        <v>310</v>
      </c>
      <c r="E6" s="217">
        <f>MROUND((J6+J6*M6),10)</f>
        <v>400</v>
      </c>
      <c r="F6" s="217">
        <f>MROUND((K6+K6*M6),10)</f>
        <v>320</v>
      </c>
      <c r="G6" s="217">
        <f>MROUND((L6+L6*M6),10)</f>
        <v>400</v>
      </c>
      <c r="I6" s="216">
        <v>235</v>
      </c>
      <c r="J6" s="217">
        <v>300</v>
      </c>
      <c r="K6" s="217">
        <v>245</v>
      </c>
      <c r="L6" s="217">
        <v>305</v>
      </c>
      <c r="M6" s="482">
        <f>инфляция!A2</f>
        <v>0.32590000000000002</v>
      </c>
    </row>
    <row r="7" spans="1:14" ht="30" x14ac:dyDescent="0.3">
      <c r="A7" s="207">
        <v>2</v>
      </c>
      <c r="B7" s="215" t="s">
        <v>258</v>
      </c>
      <c r="C7" s="214" t="s">
        <v>433</v>
      </c>
      <c r="D7" s="216">
        <f>MROUND((I7+I7*M7),10)</f>
        <v>340</v>
      </c>
      <c r="E7" s="217">
        <f>MROUND((J7+J7*M7),10)</f>
        <v>440</v>
      </c>
      <c r="F7" s="217">
        <f>MROUND((K7+K7*M7),10)</f>
        <v>360</v>
      </c>
      <c r="G7" s="217">
        <f>MROUND((L7+L7*M7),10)</f>
        <v>440</v>
      </c>
      <c r="I7" s="216">
        <v>260</v>
      </c>
      <c r="J7" s="216">
        <v>335</v>
      </c>
      <c r="K7" s="216">
        <v>270</v>
      </c>
      <c r="L7" s="216">
        <v>335</v>
      </c>
      <c r="M7" s="482">
        <f>M6</f>
        <v>0.32590000000000002</v>
      </c>
    </row>
    <row r="8" spans="1:14" ht="18.75" x14ac:dyDescent="0.3">
      <c r="A8" s="207">
        <v>3</v>
      </c>
      <c r="B8" s="215" t="s">
        <v>263</v>
      </c>
      <c r="C8" s="214" t="s">
        <v>264</v>
      </c>
      <c r="D8" s="1086">
        <f>MROUND((I8+I8*M8),100)</f>
        <v>4400</v>
      </c>
      <c r="E8" s="1087"/>
      <c r="F8" s="1087"/>
      <c r="G8" s="1088"/>
      <c r="I8" s="1086">
        <v>3300</v>
      </c>
      <c r="J8" s="1087"/>
      <c r="K8" s="1087"/>
      <c r="L8" s="1088"/>
      <c r="M8" s="482">
        <f>M7</f>
        <v>0.32590000000000002</v>
      </c>
    </row>
    <row r="9" spans="1:14" x14ac:dyDescent="0.25">
      <c r="A9" s="211"/>
      <c r="C9" s="211"/>
      <c r="D9" s="211"/>
      <c r="E9" s="211"/>
      <c r="F9" s="211"/>
      <c r="G9" s="211"/>
    </row>
    <row r="10" spans="1:14" ht="24" customHeight="1" x14ac:dyDescent="0.25">
      <c r="A10" s="858" t="s">
        <v>668</v>
      </c>
      <c r="B10" s="858"/>
      <c r="C10" s="858"/>
      <c r="D10" s="858"/>
      <c r="E10" s="858"/>
      <c r="F10" s="858"/>
      <c r="G10" s="858"/>
    </row>
    <row r="11" spans="1:14" x14ac:dyDescent="0.25">
      <c r="A11" s="211"/>
      <c r="C11" s="211"/>
      <c r="D11" s="211"/>
      <c r="E11" s="211"/>
      <c r="F11" s="211"/>
      <c r="G11" s="211"/>
    </row>
    <row r="12" spans="1:14" x14ac:dyDescent="0.25">
      <c r="A12" s="211"/>
      <c r="C12" s="211"/>
      <c r="D12" s="211"/>
      <c r="E12" s="211"/>
      <c r="F12" s="211"/>
      <c r="G12" s="211"/>
    </row>
    <row r="13" spans="1:14" x14ac:dyDescent="0.25">
      <c r="A13" s="211"/>
      <c r="C13" s="211"/>
      <c r="D13" s="211"/>
      <c r="E13" s="211"/>
      <c r="F13" s="211"/>
      <c r="G13" s="211"/>
    </row>
    <row r="14" spans="1:14" x14ac:dyDescent="0.25">
      <c r="A14" s="211"/>
      <c r="C14" s="211"/>
      <c r="D14" s="211"/>
      <c r="E14" s="211"/>
      <c r="F14" s="211"/>
      <c r="G14" s="211"/>
    </row>
    <row r="15" spans="1:14" x14ac:dyDescent="0.25">
      <c r="A15" s="211"/>
      <c r="C15" s="211"/>
      <c r="D15" s="211"/>
      <c r="E15" s="211"/>
      <c r="F15" s="211"/>
      <c r="G15" s="211"/>
    </row>
  </sheetData>
  <mergeCells count="10">
    <mergeCell ref="A2:G2"/>
    <mergeCell ref="A3:A5"/>
    <mergeCell ref="B3:B5"/>
    <mergeCell ref="C3:C5"/>
    <mergeCell ref="D4:E4"/>
    <mergeCell ref="A10:G10"/>
    <mergeCell ref="I8:L8"/>
    <mergeCell ref="F4:G4"/>
    <mergeCell ref="D3:G3"/>
    <mergeCell ref="D8:G8"/>
  </mergeCells>
  <hyperlinks>
    <hyperlink ref="H2" location="СОДЕРЖАНИЕ!A1" display="назад к содержанию" xr:uid="{00000000-0004-0000-1400-000000000000}"/>
    <hyperlink ref="N2" location="Спасибо!A3" display="Спасибо!" xr:uid="{D29929F3-5F36-4042-9210-37E500F95CCA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6"/>
  <sheetViews>
    <sheetView workbookViewId="0">
      <selection activeCell="C42" sqref="C42"/>
    </sheetView>
  </sheetViews>
  <sheetFormatPr defaultRowHeight="15" x14ac:dyDescent="0.25"/>
  <cols>
    <col min="1" max="1" width="6.42578125" bestFit="1" customWidth="1"/>
    <col min="2" max="2" width="47.140625" style="18" customWidth="1"/>
    <col min="3" max="3" width="7.7109375" bestFit="1" customWidth="1"/>
    <col min="4" max="4" width="9.7109375" bestFit="1" customWidth="1"/>
    <col min="5" max="5" width="9.140625" customWidth="1"/>
    <col min="6" max="6" width="9.5703125" bestFit="1" customWidth="1"/>
    <col min="7" max="7" width="13.42578125" customWidth="1"/>
    <col min="8" max="11" width="8.5703125" hidden="1" customWidth="1"/>
  </cols>
  <sheetData>
    <row r="1" spans="1:12" ht="15.75" thickBot="1" x14ac:dyDescent="0.3">
      <c r="B1" s="755" t="str">
        <f>'2.10 Пескоструй резервуаров'!B1</f>
        <v>Актуально на 01 апреля 2022</v>
      </c>
    </row>
    <row r="2" spans="1:12" ht="30.75" thickBot="1" x14ac:dyDescent="0.4">
      <c r="A2" s="1100" t="s">
        <v>265</v>
      </c>
      <c r="B2" s="1101"/>
      <c r="C2" s="1100"/>
      <c r="D2" s="1100"/>
      <c r="E2" s="1100"/>
      <c r="F2" s="1100"/>
      <c r="G2" s="236" t="s">
        <v>302</v>
      </c>
      <c r="L2" s="579" t="s">
        <v>622</v>
      </c>
    </row>
    <row r="3" spans="1:12" x14ac:dyDescent="0.25">
      <c r="A3" s="1102" t="s">
        <v>1</v>
      </c>
      <c r="B3" s="1096" t="s">
        <v>2</v>
      </c>
      <c r="C3" s="1097" t="s">
        <v>3</v>
      </c>
      <c r="D3" s="1103" t="s">
        <v>4</v>
      </c>
      <c r="E3" s="1103"/>
      <c r="F3" s="1103"/>
      <c r="L3" s="18"/>
    </row>
    <row r="4" spans="1:12" x14ac:dyDescent="0.25">
      <c r="A4" s="1102"/>
      <c r="B4" s="1096"/>
      <c r="C4" s="1097"/>
      <c r="D4" s="1104" t="s">
        <v>271</v>
      </c>
      <c r="E4" s="1104"/>
      <c r="F4" s="1104"/>
    </row>
    <row r="5" spans="1:12" ht="21.75" customHeight="1" x14ac:dyDescent="0.25">
      <c r="A5" s="1102"/>
      <c r="B5" s="1096"/>
      <c r="C5" s="1097"/>
      <c r="D5" s="218" t="s">
        <v>268</v>
      </c>
      <c r="E5" s="218" t="s">
        <v>269</v>
      </c>
      <c r="F5" s="218" t="s">
        <v>270</v>
      </c>
    </row>
    <row r="6" spans="1:12" ht="32.25" customHeight="1" x14ac:dyDescent="0.25">
      <c r="A6" s="220">
        <v>1</v>
      </c>
      <c r="B6" s="221" t="s">
        <v>266</v>
      </c>
      <c r="C6" s="222" t="s">
        <v>433</v>
      </c>
      <c r="D6" s="208">
        <f>MROUND((H6+H6*K6),10)</f>
        <v>300</v>
      </c>
      <c r="E6" s="208">
        <f>MROUND((I6+I6*K6),10)</f>
        <v>370</v>
      </c>
      <c r="F6" s="208">
        <f>MROUND((J6+J6*K6),10)</f>
        <v>420</v>
      </c>
      <c r="H6" s="502">
        <v>230</v>
      </c>
      <c r="I6" s="502">
        <v>280</v>
      </c>
      <c r="J6" s="502">
        <v>315</v>
      </c>
      <c r="K6" s="482">
        <f>инфляция!A2</f>
        <v>0.32590000000000002</v>
      </c>
    </row>
    <row r="7" spans="1:12" ht="45.75" customHeight="1" x14ac:dyDescent="0.25">
      <c r="A7" s="220">
        <v>2</v>
      </c>
      <c r="B7" s="221" t="s">
        <v>267</v>
      </c>
      <c r="C7" s="222" t="s">
        <v>433</v>
      </c>
      <c r="D7" s="511">
        <f>MROUND((H7+H7*K7),10)</f>
        <v>340</v>
      </c>
      <c r="E7" s="511">
        <f>MROUND((I7+I7*K7),10)</f>
        <v>390</v>
      </c>
      <c r="F7" s="511">
        <f>MROUND((J7+J7*K7),10)</f>
        <v>440</v>
      </c>
      <c r="H7" s="502">
        <v>260</v>
      </c>
      <c r="I7" s="502">
        <v>295</v>
      </c>
      <c r="J7" s="502">
        <v>335</v>
      </c>
      <c r="K7" s="482">
        <f>K6</f>
        <v>0.32590000000000002</v>
      </c>
    </row>
    <row r="8" spans="1:12" ht="57" customHeight="1" x14ac:dyDescent="0.25">
      <c r="A8" s="220">
        <v>3</v>
      </c>
      <c r="B8" s="221" t="s">
        <v>283</v>
      </c>
      <c r="C8" s="222" t="s">
        <v>703</v>
      </c>
      <c r="D8" s="1105">
        <v>1.25</v>
      </c>
      <c r="E8" s="1105"/>
      <c r="F8" s="1105"/>
      <c r="K8" s="482">
        <f t="shared" ref="K8:K16" si="0">K7</f>
        <v>0.32590000000000002</v>
      </c>
    </row>
    <row r="9" spans="1:12" ht="18.75" customHeight="1" x14ac:dyDescent="0.25">
      <c r="A9" s="1108" t="s">
        <v>284</v>
      </c>
      <c r="B9" s="1108"/>
      <c r="C9" s="1108"/>
      <c r="D9" s="1108"/>
      <c r="E9" s="1108"/>
      <c r="F9" s="1108"/>
      <c r="K9" s="482">
        <f t="shared" si="0"/>
        <v>0.32590000000000002</v>
      </c>
    </row>
    <row r="10" spans="1:12" ht="18.75" x14ac:dyDescent="0.25">
      <c r="A10" s="220">
        <v>4</v>
      </c>
      <c r="B10" s="221" t="s">
        <v>272</v>
      </c>
      <c r="C10" s="222" t="s">
        <v>703</v>
      </c>
      <c r="D10" s="1109">
        <v>1.1000000000000001</v>
      </c>
      <c r="E10" s="1109"/>
      <c r="F10" s="1109"/>
      <c r="K10" s="482">
        <f t="shared" si="0"/>
        <v>0.32590000000000002</v>
      </c>
    </row>
    <row r="11" spans="1:12" ht="18.75" x14ac:dyDescent="0.25">
      <c r="A11" s="220">
        <v>5</v>
      </c>
      <c r="B11" s="221" t="s">
        <v>273</v>
      </c>
      <c r="C11" s="222" t="s">
        <v>703</v>
      </c>
      <c r="D11" s="1109">
        <v>1.2</v>
      </c>
      <c r="E11" s="1109"/>
      <c r="F11" s="1109"/>
      <c r="K11" s="482">
        <f t="shared" si="0"/>
        <v>0.32590000000000002</v>
      </c>
    </row>
    <row r="12" spans="1:12" ht="18.75" x14ac:dyDescent="0.25">
      <c r="A12" s="220">
        <v>6</v>
      </c>
      <c r="B12" s="221" t="s">
        <v>274</v>
      </c>
      <c r="C12" s="222" t="s">
        <v>703</v>
      </c>
      <c r="D12" s="1109">
        <v>1.3</v>
      </c>
      <c r="E12" s="1109"/>
      <c r="F12" s="1109"/>
      <c r="K12" s="482">
        <f t="shared" si="0"/>
        <v>0.32590000000000002</v>
      </c>
    </row>
    <row r="13" spans="1:12" ht="18.75" customHeight="1" x14ac:dyDescent="0.25">
      <c r="A13" s="1106" t="s">
        <v>275</v>
      </c>
      <c r="B13" s="1106"/>
      <c r="C13" s="1106"/>
      <c r="D13" s="1106"/>
      <c r="E13" s="1106"/>
      <c r="F13" s="1106"/>
      <c r="K13" s="482">
        <f t="shared" si="0"/>
        <v>0.32590000000000002</v>
      </c>
    </row>
    <row r="14" spans="1:12" ht="18.75" x14ac:dyDescent="0.25">
      <c r="A14" s="220">
        <v>7</v>
      </c>
      <c r="B14" s="221" t="s">
        <v>276</v>
      </c>
      <c r="C14" s="222" t="s">
        <v>433</v>
      </c>
      <c r="D14" s="1107">
        <f>MROUND((H14+H14*K14),10)</f>
        <v>310</v>
      </c>
      <c r="E14" s="1107"/>
      <c r="F14" s="1107"/>
      <c r="H14" s="1107">
        <v>235</v>
      </c>
      <c r="I14" s="1107"/>
      <c r="J14" s="1107"/>
      <c r="K14" s="482">
        <f t="shared" si="0"/>
        <v>0.32590000000000002</v>
      </c>
    </row>
    <row r="15" spans="1:12" ht="18.75" x14ac:dyDescent="0.25">
      <c r="A15" s="220">
        <v>8</v>
      </c>
      <c r="B15" s="221" t="s">
        <v>277</v>
      </c>
      <c r="C15" s="222" t="s">
        <v>433</v>
      </c>
      <c r="D15" s="1107">
        <f t="shared" ref="D15" si="1">MROUND((H15+H15*K15),10)</f>
        <v>580</v>
      </c>
      <c r="E15" s="1107"/>
      <c r="F15" s="1107"/>
      <c r="H15" s="1107">
        <v>435</v>
      </c>
      <c r="I15" s="1107"/>
      <c r="J15" s="1107"/>
      <c r="K15" s="482">
        <f t="shared" si="0"/>
        <v>0.32590000000000002</v>
      </c>
    </row>
    <row r="16" spans="1:12" ht="18.75" x14ac:dyDescent="0.25">
      <c r="A16" s="220">
        <v>9</v>
      </c>
      <c r="B16" s="221" t="s">
        <v>278</v>
      </c>
      <c r="C16" s="222" t="s">
        <v>264</v>
      </c>
      <c r="D16" s="1107">
        <f>MROUND((H16+H16*K16),100)</f>
        <v>3800</v>
      </c>
      <c r="E16" s="1107"/>
      <c r="F16" s="1107"/>
      <c r="H16" s="1107">
        <v>2900</v>
      </c>
      <c r="I16" s="1107"/>
      <c r="J16" s="1107"/>
      <c r="K16" s="482">
        <f t="shared" si="0"/>
        <v>0.32590000000000002</v>
      </c>
    </row>
    <row r="17" spans="1:7" ht="18.75" customHeight="1" x14ac:dyDescent="0.25">
      <c r="A17" s="1110" t="s">
        <v>279</v>
      </c>
      <c r="B17" s="1110"/>
      <c r="C17" s="1110"/>
      <c r="D17" s="1110"/>
      <c r="E17" s="1110"/>
      <c r="F17" s="1110"/>
      <c r="G17" s="219"/>
    </row>
    <row r="18" spans="1:7" ht="18.75" x14ac:dyDescent="0.25">
      <c r="A18" s="220">
        <v>10</v>
      </c>
      <c r="B18" s="221" t="s">
        <v>281</v>
      </c>
      <c r="C18" s="222" t="s">
        <v>703</v>
      </c>
      <c r="D18" s="1105">
        <v>0.95</v>
      </c>
      <c r="E18" s="1105"/>
      <c r="F18" s="1105"/>
    </row>
    <row r="19" spans="1:7" ht="18.75" x14ac:dyDescent="0.25">
      <c r="A19" s="220">
        <v>11</v>
      </c>
      <c r="B19" s="221" t="s">
        <v>280</v>
      </c>
      <c r="C19" s="222" t="s">
        <v>703</v>
      </c>
      <c r="D19" s="1105">
        <v>0.9</v>
      </c>
      <c r="E19" s="1105"/>
      <c r="F19" s="1105"/>
    </row>
    <row r="20" spans="1:7" x14ac:dyDescent="0.25">
      <c r="A20" s="211"/>
      <c r="C20" s="211"/>
      <c r="D20" s="211"/>
      <c r="E20" s="211"/>
      <c r="F20" s="211"/>
    </row>
    <row r="21" spans="1:7" ht="26.25" customHeight="1" x14ac:dyDescent="0.25">
      <c r="A21" s="858" t="s">
        <v>668</v>
      </c>
      <c r="B21" s="858"/>
      <c r="C21" s="858"/>
      <c r="D21" s="858"/>
      <c r="E21" s="858"/>
      <c r="F21" s="858"/>
    </row>
    <row r="22" spans="1:7" x14ac:dyDescent="0.25">
      <c r="A22" s="211"/>
      <c r="C22" s="211"/>
      <c r="D22" s="211"/>
      <c r="E22" s="211"/>
      <c r="F22" s="211"/>
    </row>
    <row r="23" spans="1:7" x14ac:dyDescent="0.25">
      <c r="A23" s="211"/>
      <c r="C23" s="211"/>
      <c r="D23" s="211"/>
      <c r="E23" s="211"/>
      <c r="F23" s="211"/>
    </row>
    <row r="24" spans="1:7" x14ac:dyDescent="0.25">
      <c r="A24" s="211"/>
      <c r="C24" s="211"/>
      <c r="D24" s="211"/>
      <c r="E24" s="211"/>
      <c r="F24" s="211"/>
    </row>
    <row r="25" spans="1:7" x14ac:dyDescent="0.25">
      <c r="A25" s="211"/>
      <c r="C25" s="211"/>
      <c r="D25" s="211"/>
      <c r="E25" s="211"/>
      <c r="F25" s="211"/>
    </row>
    <row r="26" spans="1:7" x14ac:dyDescent="0.25">
      <c r="A26" s="211"/>
      <c r="C26" s="211"/>
      <c r="D26" s="211"/>
      <c r="E26" s="211"/>
      <c r="F26" s="211"/>
    </row>
  </sheetData>
  <mergeCells count="22">
    <mergeCell ref="D18:F18"/>
    <mergeCell ref="D16:F16"/>
    <mergeCell ref="H14:J14"/>
    <mergeCell ref="H15:J15"/>
    <mergeCell ref="H16:J16"/>
    <mergeCell ref="A17:F17"/>
    <mergeCell ref="A21:F21"/>
    <mergeCell ref="A2:F2"/>
    <mergeCell ref="A3:A5"/>
    <mergeCell ref="B3:B5"/>
    <mergeCell ref="C3:C5"/>
    <mergeCell ref="D3:F3"/>
    <mergeCell ref="D4:F4"/>
    <mergeCell ref="D8:F8"/>
    <mergeCell ref="D19:F19"/>
    <mergeCell ref="A13:F13"/>
    <mergeCell ref="D14:F14"/>
    <mergeCell ref="D15:F15"/>
    <mergeCell ref="A9:F9"/>
    <mergeCell ref="D10:F10"/>
    <mergeCell ref="D11:F11"/>
    <mergeCell ref="D12:F12"/>
  </mergeCells>
  <hyperlinks>
    <hyperlink ref="G2" location="СОДЕРЖАНИЕ!A1" display="назад к содержанию" xr:uid="{00000000-0004-0000-1500-000000000000}"/>
    <hyperlink ref="L2" location="Спасибо!A3" display="Спасибо!" xr:uid="{C66959DE-CE62-564A-B019-53C8238F7D13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6"/>
  <sheetViews>
    <sheetView workbookViewId="0">
      <selection activeCell="D36" sqref="D36"/>
    </sheetView>
  </sheetViews>
  <sheetFormatPr defaultRowHeight="18.75" x14ac:dyDescent="0.3"/>
  <cols>
    <col min="1" max="1" width="6.42578125" style="15" bestFit="1" customWidth="1"/>
    <col min="2" max="2" width="47.140625" style="18" customWidth="1"/>
    <col min="3" max="3" width="7.7109375" style="15" bestFit="1" customWidth="1"/>
    <col min="4" max="4" width="12.7109375" style="226" bestFit="1" customWidth="1"/>
    <col min="5" max="5" width="13.140625" customWidth="1"/>
    <col min="6" max="7" width="0" hidden="1" customWidth="1"/>
  </cols>
  <sheetData>
    <row r="1" spans="1:8" ht="19.5" thickBot="1" x14ac:dyDescent="0.35">
      <c r="B1" s="755" t="str">
        <f>'2.11 Пескоструй металла'!B1</f>
        <v>Актуально на 01 апреля 2022</v>
      </c>
    </row>
    <row r="2" spans="1:8" ht="30.75" thickBot="1" x14ac:dyDescent="0.4">
      <c r="A2" s="1100" t="s">
        <v>299</v>
      </c>
      <c r="B2" s="1101"/>
      <c r="C2" s="1100"/>
      <c r="D2" s="1100"/>
      <c r="E2" s="236" t="s">
        <v>302</v>
      </c>
      <c r="H2" s="579" t="s">
        <v>622</v>
      </c>
    </row>
    <row r="3" spans="1:8" ht="15" x14ac:dyDescent="0.25">
      <c r="A3" s="996" t="s">
        <v>1</v>
      </c>
      <c r="B3" s="1096" t="s">
        <v>2</v>
      </c>
      <c r="C3" s="995" t="s">
        <v>3</v>
      </c>
      <c r="D3" s="1113" t="s">
        <v>4</v>
      </c>
      <c r="H3" s="18"/>
    </row>
    <row r="4" spans="1:8" ht="15" x14ac:dyDescent="0.25">
      <c r="A4" s="996"/>
      <c r="B4" s="1096"/>
      <c r="C4" s="995"/>
      <c r="D4" s="1114"/>
    </row>
    <row r="5" spans="1:8" ht="21.75" customHeight="1" x14ac:dyDescent="0.25">
      <c r="A5" s="1111"/>
      <c r="B5" s="1112"/>
      <c r="C5" s="1031"/>
      <c r="D5" s="1115"/>
    </row>
    <row r="6" spans="1:8" s="219" customFormat="1" ht="30" customHeight="1" x14ac:dyDescent="0.25">
      <c r="A6" s="1124" t="s">
        <v>289</v>
      </c>
      <c r="B6" s="1125"/>
      <c r="C6" s="1125"/>
      <c r="D6" s="1126"/>
    </row>
    <row r="7" spans="1:8" ht="30.75" x14ac:dyDescent="0.3">
      <c r="A7" s="68">
        <v>1</v>
      </c>
      <c r="B7" s="26" t="s">
        <v>290</v>
      </c>
      <c r="C7" s="68" t="s">
        <v>12</v>
      </c>
      <c r="D7" s="224">
        <f>MROUND((F7+F7*G7),10)</f>
        <v>400</v>
      </c>
      <c r="F7" s="224">
        <v>300</v>
      </c>
      <c r="G7" s="482">
        <f>инфляция!A2</f>
        <v>0.32590000000000002</v>
      </c>
    </row>
    <row r="8" spans="1:8" ht="60.75" x14ac:dyDescent="0.3">
      <c r="A8" s="68">
        <v>2</v>
      </c>
      <c r="B8" s="26" t="s">
        <v>291</v>
      </c>
      <c r="C8" s="68" t="s">
        <v>12</v>
      </c>
      <c r="D8" s="224">
        <f t="shared" ref="D8:D11" si="0">MROUND((F8+F8*G8),10)</f>
        <v>460</v>
      </c>
      <c r="F8" s="225">
        <v>350</v>
      </c>
      <c r="G8" s="482">
        <f>G7</f>
        <v>0.32590000000000002</v>
      </c>
    </row>
    <row r="9" spans="1:8" ht="30.75" x14ac:dyDescent="0.3">
      <c r="A9" s="68">
        <v>3</v>
      </c>
      <c r="B9" s="26" t="s">
        <v>292</v>
      </c>
      <c r="C9" s="68" t="s">
        <v>12</v>
      </c>
      <c r="D9" s="224">
        <f t="shared" si="0"/>
        <v>660</v>
      </c>
      <c r="F9" s="225">
        <v>500</v>
      </c>
      <c r="G9" s="482">
        <f t="shared" ref="G9:G15" si="1">G8</f>
        <v>0.32590000000000002</v>
      </c>
    </row>
    <row r="10" spans="1:8" ht="30.75" x14ac:dyDescent="0.3">
      <c r="A10" s="68">
        <v>4</v>
      </c>
      <c r="B10" s="26" t="s">
        <v>293</v>
      </c>
      <c r="C10" s="68" t="s">
        <v>12</v>
      </c>
      <c r="D10" s="224">
        <f t="shared" si="0"/>
        <v>230</v>
      </c>
      <c r="F10" s="225">
        <v>170</v>
      </c>
      <c r="G10" s="482">
        <f t="shared" si="1"/>
        <v>0.32590000000000002</v>
      </c>
    </row>
    <row r="11" spans="1:8" ht="31.5" thickBot="1" x14ac:dyDescent="0.35">
      <c r="A11" s="504">
        <v>5</v>
      </c>
      <c r="B11" s="847" t="s">
        <v>294</v>
      </c>
      <c r="C11" s="504" t="s">
        <v>12</v>
      </c>
      <c r="D11" s="224">
        <f t="shared" si="0"/>
        <v>460</v>
      </c>
      <c r="F11" s="225">
        <v>350</v>
      </c>
      <c r="G11" s="482">
        <f t="shared" si="1"/>
        <v>0.32590000000000002</v>
      </c>
    </row>
    <row r="12" spans="1:8" ht="39" customHeight="1" thickBot="1" x14ac:dyDescent="0.3">
      <c r="A12" s="1121" t="s">
        <v>285</v>
      </c>
      <c r="B12" s="1122"/>
      <c r="C12" s="1122"/>
      <c r="D12" s="1123"/>
      <c r="E12" s="503"/>
      <c r="G12" s="482">
        <f t="shared" si="1"/>
        <v>0.32590000000000002</v>
      </c>
    </row>
    <row r="13" spans="1:8" ht="30.75" x14ac:dyDescent="0.3">
      <c r="A13" s="505">
        <v>6</v>
      </c>
      <c r="B13" s="848" t="s">
        <v>286</v>
      </c>
      <c r="C13" s="505" t="s">
        <v>12</v>
      </c>
      <c r="D13" s="506">
        <f>MROUND((F13+F13*G13),10)</f>
        <v>330</v>
      </c>
      <c r="F13" s="224">
        <v>250</v>
      </c>
      <c r="G13" s="482">
        <f t="shared" si="1"/>
        <v>0.32590000000000002</v>
      </c>
    </row>
    <row r="14" spans="1:8" ht="30.75" x14ac:dyDescent="0.3">
      <c r="A14" s="68">
        <v>7</v>
      </c>
      <c r="B14" s="26" t="s">
        <v>288</v>
      </c>
      <c r="C14" s="68" t="s">
        <v>12</v>
      </c>
      <c r="D14" s="506">
        <f>MROUND((F14+F14*G14),10)</f>
        <v>400</v>
      </c>
      <c r="F14" s="224">
        <v>300</v>
      </c>
      <c r="G14" s="482">
        <f t="shared" si="1"/>
        <v>0.32590000000000002</v>
      </c>
    </row>
    <row r="15" spans="1:8" ht="30.75" x14ac:dyDescent="0.3">
      <c r="A15" s="232">
        <v>8</v>
      </c>
      <c r="B15" s="849" t="s">
        <v>287</v>
      </c>
      <c r="C15" s="61" t="s">
        <v>503</v>
      </c>
      <c r="D15" s="231">
        <f>MROUND((F15+F15*G15),100)</f>
        <v>4000</v>
      </c>
      <c r="F15" s="231">
        <v>3000</v>
      </c>
      <c r="G15" s="482">
        <f t="shared" si="1"/>
        <v>0.32590000000000002</v>
      </c>
    </row>
    <row r="16" spans="1:8" ht="18.75" customHeight="1" x14ac:dyDescent="0.25">
      <c r="A16" s="1119"/>
      <c r="B16" s="1120"/>
      <c r="C16" s="1120"/>
      <c r="D16" s="1120"/>
      <c r="E16" s="227"/>
    </row>
    <row r="17" spans="1:5" ht="18.75" customHeight="1" x14ac:dyDescent="0.25">
      <c r="A17" s="858" t="s">
        <v>668</v>
      </c>
      <c r="B17" s="858"/>
      <c r="C17" s="858"/>
      <c r="D17" s="858"/>
      <c r="E17" s="227"/>
    </row>
    <row r="18" spans="1:5" ht="18.75" customHeight="1" x14ac:dyDescent="0.25">
      <c r="A18" s="723"/>
      <c r="B18" s="438"/>
      <c r="C18" s="438"/>
      <c r="D18" s="438"/>
      <c r="E18" s="227"/>
    </row>
    <row r="19" spans="1:5" ht="18.75" customHeight="1" x14ac:dyDescent="0.25">
      <c r="A19" s="1127" t="s">
        <v>506</v>
      </c>
      <c r="B19" s="1127"/>
      <c r="C19" s="1127"/>
      <c r="D19" s="1127"/>
      <c r="E19" s="227"/>
    </row>
    <row r="20" spans="1:5" ht="18.75" customHeight="1" x14ac:dyDescent="0.25">
      <c r="A20" s="1116" t="s">
        <v>298</v>
      </c>
      <c r="B20" s="1117"/>
      <c r="C20" s="1117"/>
      <c r="D20" s="1118"/>
    </row>
    <row r="21" spans="1:5" x14ac:dyDescent="0.25">
      <c r="A21" s="232">
        <v>8</v>
      </c>
      <c r="B21" s="233" t="s">
        <v>295</v>
      </c>
      <c r="C21" s="234" t="s">
        <v>297</v>
      </c>
      <c r="D21" s="469"/>
    </row>
    <row r="22" spans="1:5" x14ac:dyDescent="0.25">
      <c r="A22" s="232">
        <v>8</v>
      </c>
      <c r="B22" s="233" t="s">
        <v>296</v>
      </c>
      <c r="C22" s="234" t="s">
        <v>297</v>
      </c>
      <c r="D22" s="469"/>
    </row>
    <row r="23" spans="1:5" x14ac:dyDescent="0.3">
      <c r="A23" s="228"/>
      <c r="B23" s="229"/>
      <c r="C23" s="228"/>
      <c r="D23" s="230"/>
    </row>
    <row r="24" spans="1:5" ht="30.75" x14ac:dyDescent="0.3">
      <c r="A24" s="232">
        <v>8</v>
      </c>
      <c r="B24" s="233" t="s">
        <v>287</v>
      </c>
      <c r="C24" s="232" t="s">
        <v>12</v>
      </c>
      <c r="D24" s="235">
        <f>(D21/1000)*(D22/1000)*D15</f>
        <v>0</v>
      </c>
    </row>
    <row r="26" spans="1:5" ht="48" customHeight="1" x14ac:dyDescent="0.25">
      <c r="A26" s="223" t="s">
        <v>137</v>
      </c>
      <c r="B26" s="915" t="s">
        <v>300</v>
      </c>
      <c r="C26" s="915"/>
      <c r="D26" s="915"/>
    </row>
  </sheetData>
  <mergeCells count="12">
    <mergeCell ref="A20:D20"/>
    <mergeCell ref="A16:D16"/>
    <mergeCell ref="B26:D26"/>
    <mergeCell ref="A12:D12"/>
    <mergeCell ref="A6:D6"/>
    <mergeCell ref="A17:D17"/>
    <mergeCell ref="A19:D19"/>
    <mergeCell ref="A2:D2"/>
    <mergeCell ref="A3:A5"/>
    <mergeCell ref="B3:B5"/>
    <mergeCell ref="C3:C5"/>
    <mergeCell ref="D3:D5"/>
  </mergeCells>
  <hyperlinks>
    <hyperlink ref="E2" location="СОДЕРЖАНИЕ!A1" display="назад к содержанию" xr:uid="{00000000-0004-0000-1600-000000000000}"/>
    <hyperlink ref="H2" location="Спасибо!A3" display="Спасибо!" xr:uid="{9A09CE6F-2449-0145-BCD8-68CBC3B3E925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6"/>
  <sheetViews>
    <sheetView workbookViewId="0">
      <selection activeCell="B52" sqref="B52"/>
    </sheetView>
  </sheetViews>
  <sheetFormatPr defaultRowHeight="18.75" x14ac:dyDescent="0.3"/>
  <cols>
    <col min="1" max="1" width="6.42578125" style="15" bestFit="1" customWidth="1"/>
    <col min="2" max="2" width="47.140625" style="51" customWidth="1"/>
    <col min="3" max="3" width="8.7109375" style="15" bestFit="1" customWidth="1"/>
    <col min="4" max="4" width="14.140625" style="243" customWidth="1"/>
    <col min="5" max="5" width="13.140625" customWidth="1"/>
    <col min="6" max="7" width="8.5703125" hidden="1" customWidth="1"/>
  </cols>
  <sheetData>
    <row r="1" spans="1:8" ht="19.5" thickBot="1" x14ac:dyDescent="0.35">
      <c r="B1" s="755" t="str">
        <f>'3.1 Деф.швы и молниеотводы'!B1</f>
        <v>Актуально на 01 апреля 2022</v>
      </c>
    </row>
    <row r="2" spans="1:8" ht="30.75" thickBot="1" x14ac:dyDescent="0.4">
      <c r="A2" s="1100" t="s">
        <v>318</v>
      </c>
      <c r="B2" s="1101"/>
      <c r="C2" s="1100"/>
      <c r="D2" s="1100"/>
      <c r="E2" s="236" t="s">
        <v>302</v>
      </c>
      <c r="H2" s="579" t="s">
        <v>622</v>
      </c>
    </row>
    <row r="3" spans="1:8" ht="15" x14ac:dyDescent="0.25">
      <c r="A3" s="996" t="s">
        <v>1</v>
      </c>
      <c r="B3" s="1137" t="s">
        <v>2</v>
      </c>
      <c r="C3" s="995" t="s">
        <v>3</v>
      </c>
      <c r="D3" s="1139" t="s">
        <v>4</v>
      </c>
      <c r="H3" s="18"/>
    </row>
    <row r="4" spans="1:8" ht="15" x14ac:dyDescent="0.25">
      <c r="A4" s="996"/>
      <c r="B4" s="1137"/>
      <c r="C4" s="995"/>
      <c r="D4" s="1140"/>
    </row>
    <row r="5" spans="1:8" ht="21.75" customHeight="1" x14ac:dyDescent="0.25">
      <c r="A5" s="1111"/>
      <c r="B5" s="1138"/>
      <c r="C5" s="1031"/>
      <c r="D5" s="1141"/>
    </row>
    <row r="6" spans="1:8" ht="44.25" customHeight="1" x14ac:dyDescent="0.25">
      <c r="A6" s="1142" t="s">
        <v>319</v>
      </c>
      <c r="B6" s="1143"/>
      <c r="C6" s="1143"/>
      <c r="D6" s="1144"/>
    </row>
    <row r="7" spans="1:8" x14ac:dyDescent="0.25">
      <c r="A7" s="68">
        <v>1</v>
      </c>
      <c r="B7" s="245" t="s">
        <v>306</v>
      </c>
      <c r="C7" s="249" t="s">
        <v>35</v>
      </c>
      <c r="D7" s="250">
        <f>MROUND((F7+F7*G7),100)</f>
        <v>5300</v>
      </c>
      <c r="F7" s="250">
        <v>4000</v>
      </c>
      <c r="G7" s="482">
        <f>инфляция!A2</f>
        <v>0.32590000000000002</v>
      </c>
    </row>
    <row r="8" spans="1:8" x14ac:dyDescent="0.25">
      <c r="A8" s="68">
        <v>2</v>
      </c>
      <c r="B8" s="245" t="s">
        <v>307</v>
      </c>
      <c r="C8" s="249" t="s">
        <v>35</v>
      </c>
      <c r="D8" s="250">
        <f t="shared" ref="D8:D10" si="0">MROUND((F8+F8*G8),100)</f>
        <v>6100</v>
      </c>
      <c r="F8" s="250">
        <v>4600</v>
      </c>
      <c r="G8" s="482">
        <f>G7</f>
        <v>0.32590000000000002</v>
      </c>
    </row>
    <row r="9" spans="1:8" x14ac:dyDescent="0.25">
      <c r="A9" s="68">
        <v>3</v>
      </c>
      <c r="B9" s="245" t="s">
        <v>308</v>
      </c>
      <c r="C9" s="249" t="s">
        <v>35</v>
      </c>
      <c r="D9" s="250">
        <f t="shared" si="0"/>
        <v>7600</v>
      </c>
      <c r="F9" s="250">
        <v>5700</v>
      </c>
      <c r="G9" s="482">
        <f t="shared" ref="G9:G44" si="1">G8</f>
        <v>0.32590000000000002</v>
      </c>
    </row>
    <row r="10" spans="1:8" x14ac:dyDescent="0.25">
      <c r="A10" s="68">
        <v>4</v>
      </c>
      <c r="B10" s="245" t="s">
        <v>309</v>
      </c>
      <c r="C10" s="249" t="s">
        <v>35</v>
      </c>
      <c r="D10" s="250">
        <f t="shared" si="0"/>
        <v>8900</v>
      </c>
      <c r="F10" s="250">
        <v>6700</v>
      </c>
      <c r="G10" s="482">
        <f t="shared" si="1"/>
        <v>0.32590000000000002</v>
      </c>
    </row>
    <row r="11" spans="1:8" ht="18.75" customHeight="1" x14ac:dyDescent="0.25">
      <c r="A11" s="1134" t="s">
        <v>310</v>
      </c>
      <c r="B11" s="1135"/>
      <c r="C11" s="1135"/>
      <c r="D11" s="1136"/>
      <c r="G11" s="482">
        <f t="shared" si="1"/>
        <v>0.32590000000000002</v>
      </c>
    </row>
    <row r="12" spans="1:8" x14ac:dyDescent="0.25">
      <c r="A12" s="623">
        <v>5</v>
      </c>
      <c r="B12" s="246" t="s">
        <v>311</v>
      </c>
      <c r="C12" s="251" t="s">
        <v>35</v>
      </c>
      <c r="D12" s="252">
        <f>MROUND((F12+F12*G12),10)</f>
        <v>660</v>
      </c>
      <c r="F12" s="252">
        <v>500</v>
      </c>
      <c r="G12" s="482">
        <f t="shared" si="1"/>
        <v>0.32590000000000002</v>
      </c>
    </row>
    <row r="13" spans="1:8" x14ac:dyDescent="0.25">
      <c r="A13" s="623">
        <v>6</v>
      </c>
      <c r="B13" s="246" t="s">
        <v>312</v>
      </c>
      <c r="C13" s="251" t="s">
        <v>35</v>
      </c>
      <c r="D13" s="252">
        <f t="shared" ref="D13:D14" si="2">MROUND((F13+F13*G13),10)</f>
        <v>800</v>
      </c>
      <c r="F13" s="252">
        <v>600</v>
      </c>
      <c r="G13" s="482">
        <f t="shared" si="1"/>
        <v>0.32590000000000002</v>
      </c>
    </row>
    <row r="14" spans="1:8" ht="30" x14ac:dyDescent="0.25">
      <c r="A14" s="623">
        <v>7</v>
      </c>
      <c r="B14" s="246" t="s">
        <v>116</v>
      </c>
      <c r="C14" s="251" t="s">
        <v>35</v>
      </c>
      <c r="D14" s="252">
        <f t="shared" si="2"/>
        <v>600</v>
      </c>
      <c r="F14" s="252">
        <v>450</v>
      </c>
      <c r="G14" s="482">
        <f t="shared" si="1"/>
        <v>0.32590000000000002</v>
      </c>
    </row>
    <row r="15" spans="1:8" ht="30" x14ac:dyDescent="0.25">
      <c r="A15" s="624">
        <v>8</v>
      </c>
      <c r="B15" s="247" t="s">
        <v>122</v>
      </c>
      <c r="C15" s="253" t="s">
        <v>35</v>
      </c>
      <c r="D15" s="254">
        <f>MROUND((F15+F15*G15),10)</f>
        <v>490</v>
      </c>
      <c r="F15" s="254">
        <v>370</v>
      </c>
      <c r="G15" s="482">
        <f t="shared" si="1"/>
        <v>0.32590000000000002</v>
      </c>
    </row>
    <row r="16" spans="1:8" x14ac:dyDescent="0.25">
      <c r="A16" s="624">
        <v>9</v>
      </c>
      <c r="B16" s="247" t="s">
        <v>120</v>
      </c>
      <c r="C16" s="253" t="s">
        <v>433</v>
      </c>
      <c r="D16" s="254">
        <f t="shared" ref="D16:D17" si="3">MROUND((F16+F16*G16),10)</f>
        <v>990</v>
      </c>
      <c r="F16" s="254">
        <v>750</v>
      </c>
      <c r="G16" s="482">
        <f t="shared" si="1"/>
        <v>0.32590000000000002</v>
      </c>
    </row>
    <row r="17" spans="1:7" x14ac:dyDescent="0.25">
      <c r="A17" s="624">
        <v>10</v>
      </c>
      <c r="B17" s="247" t="s">
        <v>121</v>
      </c>
      <c r="C17" s="253" t="s">
        <v>433</v>
      </c>
      <c r="D17" s="254">
        <f t="shared" si="3"/>
        <v>560</v>
      </c>
      <c r="F17" s="254">
        <v>420</v>
      </c>
      <c r="G17" s="482">
        <f t="shared" si="1"/>
        <v>0.32590000000000002</v>
      </c>
    </row>
    <row r="18" spans="1:7" ht="30" x14ac:dyDescent="0.25">
      <c r="A18" s="625">
        <v>11</v>
      </c>
      <c r="B18" s="248" t="s">
        <v>313</v>
      </c>
      <c r="C18" s="255" t="s">
        <v>35</v>
      </c>
      <c r="D18" s="256">
        <f>MROUND((F18+F18*G18),10)</f>
        <v>530</v>
      </c>
      <c r="F18" s="256">
        <v>400</v>
      </c>
      <c r="G18" s="482">
        <f t="shared" si="1"/>
        <v>0.32590000000000002</v>
      </c>
    </row>
    <row r="19" spans="1:7" ht="18.75" customHeight="1" x14ac:dyDescent="0.25">
      <c r="A19" s="1132" t="s">
        <v>316</v>
      </c>
      <c r="B19" s="1128"/>
      <c r="C19" s="1128"/>
      <c r="D19" s="1133"/>
      <c r="G19" s="482">
        <f t="shared" si="1"/>
        <v>0.32590000000000002</v>
      </c>
    </row>
    <row r="20" spans="1:7" x14ac:dyDescent="0.25">
      <c r="A20" s="626">
        <v>12</v>
      </c>
      <c r="B20" s="244" t="s">
        <v>314</v>
      </c>
      <c r="C20" s="609" t="s">
        <v>35</v>
      </c>
      <c r="D20" s="610">
        <f>MROUND((F20+F20*G20),10)</f>
        <v>600</v>
      </c>
      <c r="F20" s="250">
        <v>450</v>
      </c>
      <c r="G20" s="482">
        <f t="shared" si="1"/>
        <v>0.32590000000000002</v>
      </c>
    </row>
    <row r="21" spans="1:7" x14ac:dyDescent="0.25">
      <c r="A21" s="626">
        <v>13</v>
      </c>
      <c r="B21" s="244" t="s">
        <v>315</v>
      </c>
      <c r="C21" s="609" t="s">
        <v>12</v>
      </c>
      <c r="D21" s="610">
        <f>MROUND((F21+F21*G21),10)</f>
        <v>800</v>
      </c>
      <c r="F21" s="250">
        <v>600</v>
      </c>
      <c r="G21" s="482">
        <f t="shared" si="1"/>
        <v>0.32590000000000002</v>
      </c>
    </row>
    <row r="22" spans="1:7" x14ac:dyDescent="0.25">
      <c r="A22" s="626">
        <v>14</v>
      </c>
      <c r="B22" s="244" t="s">
        <v>317</v>
      </c>
      <c r="C22" s="609" t="s">
        <v>703</v>
      </c>
      <c r="D22" s="752">
        <v>0.6</v>
      </c>
      <c r="G22" s="482">
        <f t="shared" si="1"/>
        <v>0.32590000000000002</v>
      </c>
    </row>
    <row r="23" spans="1:7" ht="18.75" customHeight="1" x14ac:dyDescent="0.25">
      <c r="A23" s="1128" t="s">
        <v>694</v>
      </c>
      <c r="B23" s="1128"/>
      <c r="C23" s="1128"/>
      <c r="D23" s="1128"/>
      <c r="G23" s="482">
        <f t="shared" si="1"/>
        <v>0.32590000000000002</v>
      </c>
    </row>
    <row r="24" spans="1:7" x14ac:dyDescent="0.3">
      <c r="A24" s="611">
        <v>15</v>
      </c>
      <c r="B24" s="54" t="s">
        <v>674</v>
      </c>
      <c r="C24" s="611" t="s">
        <v>35</v>
      </c>
      <c r="D24" s="618">
        <f>MROUND((F24+F24*G24),50)</f>
        <v>1900</v>
      </c>
      <c r="E24" s="607"/>
      <c r="F24" s="606">
        <v>1425</v>
      </c>
      <c r="G24" s="482">
        <f t="shared" si="1"/>
        <v>0.32590000000000002</v>
      </c>
    </row>
    <row r="25" spans="1:7" ht="30.75" x14ac:dyDescent="0.3">
      <c r="A25" s="611">
        <v>16</v>
      </c>
      <c r="B25" s="54" t="s">
        <v>675</v>
      </c>
      <c r="C25" s="611" t="s">
        <v>12</v>
      </c>
      <c r="D25" s="618">
        <f t="shared" ref="D25:D38" si="4">MROUND((F25+F25*G25),10)</f>
        <v>690</v>
      </c>
      <c r="E25" s="607"/>
      <c r="F25" s="606">
        <v>520</v>
      </c>
      <c r="G25" s="482">
        <f t="shared" si="1"/>
        <v>0.32590000000000002</v>
      </c>
    </row>
    <row r="26" spans="1:7" ht="30.75" x14ac:dyDescent="0.3">
      <c r="A26" s="611">
        <v>17</v>
      </c>
      <c r="B26" s="54" t="s">
        <v>676</v>
      </c>
      <c r="C26" s="611" t="s">
        <v>12</v>
      </c>
      <c r="D26" s="618">
        <f t="shared" si="4"/>
        <v>500</v>
      </c>
      <c r="E26" s="607"/>
      <c r="F26" s="606">
        <v>380</v>
      </c>
      <c r="G26" s="482">
        <f t="shared" si="1"/>
        <v>0.32590000000000002</v>
      </c>
    </row>
    <row r="27" spans="1:7" x14ac:dyDescent="0.3">
      <c r="A27" s="1129"/>
      <c r="B27" s="1130"/>
      <c r="C27" s="1130"/>
      <c r="D27" s="1131"/>
      <c r="E27" s="607"/>
      <c r="F27" s="606"/>
      <c r="G27" s="482">
        <f t="shared" si="1"/>
        <v>0.32590000000000002</v>
      </c>
    </row>
    <row r="28" spans="1:7" x14ac:dyDescent="0.3">
      <c r="A28" s="23">
        <v>18</v>
      </c>
      <c r="B28" s="22" t="s">
        <v>677</v>
      </c>
      <c r="C28" s="23" t="s">
        <v>678</v>
      </c>
      <c r="D28" s="619">
        <f t="shared" si="4"/>
        <v>1060</v>
      </c>
      <c r="E28" s="607"/>
      <c r="F28" s="606">
        <v>800</v>
      </c>
      <c r="G28" s="482">
        <f t="shared" si="1"/>
        <v>0.32590000000000002</v>
      </c>
    </row>
    <row r="29" spans="1:7" x14ac:dyDescent="0.3">
      <c r="A29" s="612">
        <v>19</v>
      </c>
      <c r="B29" s="613" t="s">
        <v>679</v>
      </c>
      <c r="C29" s="612" t="s">
        <v>35</v>
      </c>
      <c r="D29" s="620">
        <f>MROUND((F29+F29*G29),50)</f>
        <v>1900</v>
      </c>
      <c r="E29" s="607"/>
      <c r="F29" s="606">
        <v>1425</v>
      </c>
      <c r="G29" s="482">
        <f t="shared" si="1"/>
        <v>0.32590000000000002</v>
      </c>
    </row>
    <row r="30" spans="1:7" x14ac:dyDescent="0.3">
      <c r="A30" s="612">
        <v>20</v>
      </c>
      <c r="B30" s="613" t="s">
        <v>680</v>
      </c>
      <c r="C30" s="612" t="s">
        <v>35</v>
      </c>
      <c r="D30" s="620">
        <f>MROUND((F30+F30*G30),50)</f>
        <v>1500</v>
      </c>
      <c r="E30" s="607"/>
      <c r="F30" s="606">
        <v>1140</v>
      </c>
      <c r="G30" s="482">
        <f t="shared" si="1"/>
        <v>0.32590000000000002</v>
      </c>
    </row>
    <row r="31" spans="1:7" x14ac:dyDescent="0.3">
      <c r="A31" s="612">
        <v>21</v>
      </c>
      <c r="B31" s="613" t="s">
        <v>681</v>
      </c>
      <c r="C31" s="612" t="s">
        <v>12</v>
      </c>
      <c r="D31" s="620">
        <f t="shared" si="4"/>
        <v>1190</v>
      </c>
      <c r="E31" s="607"/>
      <c r="F31" s="606">
        <v>900</v>
      </c>
      <c r="G31" s="482">
        <f t="shared" si="1"/>
        <v>0.32590000000000002</v>
      </c>
    </row>
    <row r="32" spans="1:7" ht="30.75" x14ac:dyDescent="0.3">
      <c r="A32" s="612">
        <v>22</v>
      </c>
      <c r="B32" s="613" t="s">
        <v>682</v>
      </c>
      <c r="C32" s="612" t="s">
        <v>12</v>
      </c>
      <c r="D32" s="620">
        <f t="shared" si="4"/>
        <v>940</v>
      </c>
      <c r="E32" s="607"/>
      <c r="F32" s="606">
        <v>710</v>
      </c>
      <c r="G32" s="482">
        <f t="shared" si="1"/>
        <v>0.32590000000000002</v>
      </c>
    </row>
    <row r="33" spans="1:7" x14ac:dyDescent="0.3">
      <c r="A33" s="1129"/>
      <c r="B33" s="1130"/>
      <c r="C33" s="1130"/>
      <c r="D33" s="1131"/>
      <c r="E33" s="607"/>
      <c r="F33" s="606"/>
      <c r="G33" s="482">
        <f t="shared" si="1"/>
        <v>0.32590000000000002</v>
      </c>
    </row>
    <row r="34" spans="1:7" x14ac:dyDescent="0.3">
      <c r="A34" s="614">
        <v>23</v>
      </c>
      <c r="B34" s="615" t="s">
        <v>683</v>
      </c>
      <c r="C34" s="614" t="s">
        <v>12</v>
      </c>
      <c r="D34" s="621">
        <f t="shared" si="4"/>
        <v>840</v>
      </c>
      <c r="E34" s="607"/>
      <c r="F34" s="606">
        <v>635</v>
      </c>
      <c r="G34" s="482">
        <f t="shared" si="1"/>
        <v>0.32590000000000002</v>
      </c>
    </row>
    <row r="35" spans="1:7" x14ac:dyDescent="0.3">
      <c r="A35" s="614">
        <v>24</v>
      </c>
      <c r="B35" s="615" t="s">
        <v>684</v>
      </c>
      <c r="C35" s="614" t="s">
        <v>12</v>
      </c>
      <c r="D35" s="621">
        <f t="shared" si="4"/>
        <v>460</v>
      </c>
      <c r="E35" s="607"/>
      <c r="F35" s="606">
        <v>350</v>
      </c>
      <c r="G35" s="482">
        <f t="shared" si="1"/>
        <v>0.32590000000000002</v>
      </c>
    </row>
    <row r="36" spans="1:7" x14ac:dyDescent="0.3">
      <c r="A36" s="1129"/>
      <c r="B36" s="1130"/>
      <c r="C36" s="1130"/>
      <c r="D36" s="1131"/>
      <c r="E36" s="607"/>
      <c r="F36" s="606"/>
      <c r="G36" s="482">
        <f t="shared" si="1"/>
        <v>0.32590000000000002</v>
      </c>
    </row>
    <row r="37" spans="1:7" ht="30.75" x14ac:dyDescent="0.3">
      <c r="A37" s="616">
        <v>25</v>
      </c>
      <c r="B37" s="617" t="s">
        <v>685</v>
      </c>
      <c r="C37" s="616" t="s">
        <v>35</v>
      </c>
      <c r="D37" s="622">
        <f>MROUND((F37+F37*G37),50)</f>
        <v>2500</v>
      </c>
      <c r="E37" s="607"/>
      <c r="F37" s="606">
        <v>1900</v>
      </c>
      <c r="G37" s="482">
        <f t="shared" si="1"/>
        <v>0.32590000000000002</v>
      </c>
    </row>
    <row r="38" spans="1:7" x14ac:dyDescent="0.3">
      <c r="A38" s="616">
        <v>26</v>
      </c>
      <c r="B38" s="617" t="s">
        <v>686</v>
      </c>
      <c r="C38" s="616" t="s">
        <v>691</v>
      </c>
      <c r="D38" s="622">
        <f t="shared" si="4"/>
        <v>1130</v>
      </c>
      <c r="E38" s="607"/>
      <c r="F38" s="606">
        <v>850</v>
      </c>
      <c r="G38" s="482">
        <f t="shared" si="1"/>
        <v>0.32590000000000002</v>
      </c>
    </row>
    <row r="39" spans="1:7" x14ac:dyDescent="0.3">
      <c r="A39" s="616">
        <v>27</v>
      </c>
      <c r="B39" s="617" t="s">
        <v>687</v>
      </c>
      <c r="C39" s="616" t="s">
        <v>692</v>
      </c>
      <c r="D39" s="622">
        <f>MROUND((F39+F39*G39),50)</f>
        <v>3250</v>
      </c>
      <c r="E39" s="607"/>
      <c r="F39" s="606">
        <v>2450</v>
      </c>
      <c r="G39" s="482">
        <f t="shared" si="1"/>
        <v>0.32590000000000002</v>
      </c>
    </row>
    <row r="40" spans="1:7" x14ac:dyDescent="0.3">
      <c r="A40" s="616">
        <v>28</v>
      </c>
      <c r="B40" s="617" t="s">
        <v>688</v>
      </c>
      <c r="C40" s="616" t="s">
        <v>693</v>
      </c>
      <c r="D40" s="622">
        <f>MROUND((F40+F40*G40),1)</f>
        <v>9</v>
      </c>
      <c r="E40" s="607"/>
      <c r="F40" s="608">
        <v>6.6</v>
      </c>
      <c r="G40" s="482">
        <f t="shared" si="1"/>
        <v>0.32590000000000002</v>
      </c>
    </row>
    <row r="41" spans="1:7" x14ac:dyDescent="0.3">
      <c r="A41" s="616">
        <v>29</v>
      </c>
      <c r="B41" s="617" t="s">
        <v>689</v>
      </c>
      <c r="C41" s="616" t="s">
        <v>693</v>
      </c>
      <c r="D41" s="622">
        <f>MROUND((F41+F41*G41),1)</f>
        <v>8</v>
      </c>
      <c r="E41" s="607"/>
      <c r="F41" s="608">
        <v>5.7</v>
      </c>
      <c r="G41" s="482">
        <f t="shared" si="1"/>
        <v>0.32590000000000002</v>
      </c>
    </row>
    <row r="42" spans="1:7" x14ac:dyDescent="0.3">
      <c r="A42" s="616">
        <v>30</v>
      </c>
      <c r="B42" s="617" t="s">
        <v>690</v>
      </c>
      <c r="C42" s="616" t="s">
        <v>35</v>
      </c>
      <c r="D42" s="622">
        <f>MROUND((F42+F42*G42),50)</f>
        <v>3400</v>
      </c>
      <c r="E42" s="607"/>
      <c r="F42" s="606">
        <v>2550</v>
      </c>
      <c r="G42" s="482">
        <f t="shared" si="1"/>
        <v>0.32590000000000002</v>
      </c>
    </row>
    <row r="43" spans="1:7" x14ac:dyDescent="0.3">
      <c r="D43" s="772"/>
      <c r="G43" s="482">
        <f t="shared" si="1"/>
        <v>0.32590000000000002</v>
      </c>
    </row>
    <row r="44" spans="1:7" ht="30.75" x14ac:dyDescent="0.3">
      <c r="A44" s="611">
        <v>31</v>
      </c>
      <c r="B44" s="54" t="s">
        <v>836</v>
      </c>
      <c r="C44" s="611" t="s">
        <v>35</v>
      </c>
      <c r="D44" s="618">
        <f>MROUND((F44+F44*G44),100)</f>
        <v>2100</v>
      </c>
      <c r="F44">
        <v>1600</v>
      </c>
      <c r="G44" s="482">
        <f t="shared" si="1"/>
        <v>0.32590000000000002</v>
      </c>
    </row>
    <row r="46" spans="1:7" ht="25.5" customHeight="1" x14ac:dyDescent="0.25">
      <c r="A46" s="858" t="s">
        <v>668</v>
      </c>
      <c r="B46" s="858"/>
      <c r="C46" s="858"/>
      <c r="D46" s="858"/>
    </row>
  </sheetData>
  <mergeCells count="13">
    <mergeCell ref="A19:D19"/>
    <mergeCell ref="A11:D11"/>
    <mergeCell ref="A2:D2"/>
    <mergeCell ref="A3:A5"/>
    <mergeCell ref="B3:B5"/>
    <mergeCell ref="C3:C5"/>
    <mergeCell ref="D3:D5"/>
    <mergeCell ref="A6:D6"/>
    <mergeCell ref="A46:D46"/>
    <mergeCell ref="A23:D23"/>
    <mergeCell ref="A27:D27"/>
    <mergeCell ref="A33:D33"/>
    <mergeCell ref="A36:D36"/>
  </mergeCells>
  <phoneticPr fontId="17" alignment="center"/>
  <hyperlinks>
    <hyperlink ref="E2" location="СОДЕРЖАНИЕ!A1" display="назад к содержанию" xr:uid="{00000000-0004-0000-1700-000000000000}"/>
    <hyperlink ref="H2" location="Спасибо!A3" display="Спасибо!" xr:uid="{4B54181A-4D46-0045-B96E-AB90A4A09D4A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34"/>
  <sheetViews>
    <sheetView workbookViewId="0">
      <selection activeCell="F41" sqref="F41"/>
    </sheetView>
  </sheetViews>
  <sheetFormatPr defaultRowHeight="15" x14ac:dyDescent="0.25"/>
  <cols>
    <col min="2" max="2" width="28.7109375" style="18" customWidth="1"/>
    <col min="3" max="3" width="7.7109375" style="262" bestFit="1" customWidth="1"/>
    <col min="4" max="4" width="17.7109375" style="18" bestFit="1" customWidth="1"/>
    <col min="5" max="5" width="8.5703125" hidden="1" customWidth="1"/>
    <col min="6" max="6" width="12.7109375" customWidth="1"/>
    <col min="7" max="9" width="8.5703125" hidden="1" customWidth="1"/>
  </cols>
  <sheetData>
    <row r="1" spans="1:10" ht="30.75" thickBot="1" x14ac:dyDescent="0.3">
      <c r="B1" s="755" t="str">
        <f>'3.2 Кондиционеры'!B1</f>
        <v>Актуально на 01 апреля 2022</v>
      </c>
    </row>
    <row r="2" spans="1:10" ht="30.75" thickBot="1" x14ac:dyDescent="0.4">
      <c r="A2" s="1100" t="s">
        <v>325</v>
      </c>
      <c r="B2" s="1101"/>
      <c r="C2" s="1100"/>
      <c r="D2" s="1100"/>
      <c r="F2" s="236" t="s">
        <v>302</v>
      </c>
      <c r="J2" s="579" t="s">
        <v>622</v>
      </c>
    </row>
    <row r="3" spans="1:10" x14ac:dyDescent="0.25">
      <c r="A3" s="1167" t="s">
        <v>596</v>
      </c>
      <c r="B3" s="1167"/>
      <c r="C3" s="1167"/>
      <c r="D3" s="1167"/>
      <c r="F3" s="338"/>
      <c r="J3" s="18"/>
    </row>
    <row r="4" spans="1:10" x14ac:dyDescent="0.25">
      <c r="A4" s="1168" t="s">
        <v>597</v>
      </c>
      <c r="B4" s="1169"/>
      <c r="C4" s="1169"/>
      <c r="D4" s="1170"/>
      <c r="F4" s="338"/>
    </row>
    <row r="5" spans="1:10" x14ac:dyDescent="0.25">
      <c r="A5" s="1152">
        <v>1</v>
      </c>
      <c r="B5" s="1158" t="s">
        <v>595</v>
      </c>
      <c r="C5" s="1160" t="s">
        <v>503</v>
      </c>
      <c r="D5" s="1162">
        <f>MROUND((H5+H5*I5),100)</f>
        <v>15900</v>
      </c>
      <c r="H5">
        <v>12000</v>
      </c>
      <c r="I5" s="482">
        <f>инфляция!A2</f>
        <v>0.32590000000000002</v>
      </c>
    </row>
    <row r="6" spans="1:10" x14ac:dyDescent="0.25">
      <c r="A6" s="1152"/>
      <c r="B6" s="1159"/>
      <c r="C6" s="1161"/>
      <c r="D6" s="1163"/>
      <c r="F6" s="555"/>
    </row>
    <row r="7" spans="1:10" ht="45" x14ac:dyDescent="0.25">
      <c r="A7" s="1152"/>
      <c r="B7" s="560" t="s">
        <v>337</v>
      </c>
      <c r="C7" s="265" t="s">
        <v>3</v>
      </c>
      <c r="D7" s="266" t="s">
        <v>336</v>
      </c>
    </row>
    <row r="8" spans="1:10" ht="16.5" customHeight="1" x14ac:dyDescent="0.25">
      <c r="A8" s="1152"/>
      <c r="B8" s="561" t="s">
        <v>327</v>
      </c>
      <c r="C8" s="264" t="s">
        <v>335</v>
      </c>
      <c r="D8" s="466"/>
    </row>
    <row r="9" spans="1:10" ht="17.25" customHeight="1" x14ac:dyDescent="0.25">
      <c r="A9" s="1152"/>
      <c r="B9" s="561" t="s">
        <v>328</v>
      </c>
      <c r="C9" s="264" t="s">
        <v>335</v>
      </c>
      <c r="D9" s="474"/>
      <c r="E9">
        <f>D9/2</f>
        <v>0</v>
      </c>
    </row>
    <row r="10" spans="1:10" ht="30" x14ac:dyDescent="0.25">
      <c r="A10" s="1152"/>
      <c r="B10" s="561" t="s">
        <v>329</v>
      </c>
      <c r="C10" s="264" t="s">
        <v>335</v>
      </c>
      <c r="D10" s="474"/>
      <c r="E10">
        <f>D10/2</f>
        <v>0</v>
      </c>
    </row>
    <row r="11" spans="1:10" ht="40.5" customHeight="1" x14ac:dyDescent="0.25">
      <c r="A11" s="1152"/>
      <c r="B11" s="561" t="s">
        <v>333</v>
      </c>
      <c r="C11" s="264" t="s">
        <v>297</v>
      </c>
      <c r="D11" s="467"/>
      <c r="E11">
        <f>D11/1000</f>
        <v>0</v>
      </c>
    </row>
    <row r="12" spans="1:10" ht="40.5" customHeight="1" x14ac:dyDescent="0.25">
      <c r="A12" s="1152"/>
      <c r="B12" s="561" t="s">
        <v>334</v>
      </c>
      <c r="C12" s="264" t="s">
        <v>297</v>
      </c>
      <c r="D12" s="467"/>
      <c r="E12">
        <f>D12/1000</f>
        <v>0</v>
      </c>
    </row>
    <row r="13" spans="1:10" ht="18.75" x14ac:dyDescent="0.3">
      <c r="A13" s="1152"/>
      <c r="B13" s="561" t="s">
        <v>331</v>
      </c>
      <c r="C13" s="264" t="s">
        <v>503</v>
      </c>
      <c r="D13" s="468">
        <f>(1.047*D8*(E10*E10+E9*E10+E9*E9))-(1.047*D8*((E10-E12)*(E10-E12)+(E9-E11)*(E10-E12)+(E9-E11)*(E9-E11)))</f>
        <v>0</v>
      </c>
    </row>
    <row r="14" spans="1:10" ht="19.5" thickBot="1" x14ac:dyDescent="0.35">
      <c r="A14" s="1153"/>
      <c r="B14" s="562" t="s">
        <v>332</v>
      </c>
      <c r="C14" s="267" t="s">
        <v>340</v>
      </c>
      <c r="D14" s="268">
        <f>MROUND((D13*D5),100)</f>
        <v>0</v>
      </c>
    </row>
    <row r="15" spans="1:10" ht="34.5" thickBot="1" x14ac:dyDescent="0.3">
      <c r="A15" s="559"/>
    </row>
    <row r="16" spans="1:10" ht="15" customHeight="1" x14ac:dyDescent="0.25">
      <c r="A16" s="1154">
        <v>2</v>
      </c>
      <c r="B16" s="1164" t="s">
        <v>593</v>
      </c>
      <c r="C16" s="1165" t="s">
        <v>503</v>
      </c>
      <c r="D16" s="1166">
        <f>MROUND((H16+H16*I16),100)</f>
        <v>8000</v>
      </c>
      <c r="H16">
        <v>6000</v>
      </c>
      <c r="I16" s="482">
        <f>I5</f>
        <v>0.32590000000000002</v>
      </c>
    </row>
    <row r="17" spans="1:9" x14ac:dyDescent="0.25">
      <c r="A17" s="1152"/>
      <c r="B17" s="1159"/>
      <c r="C17" s="1161"/>
      <c r="D17" s="1163"/>
    </row>
    <row r="18" spans="1:9" ht="45" x14ac:dyDescent="0.25">
      <c r="A18" s="1152"/>
      <c r="B18" s="560" t="s">
        <v>337</v>
      </c>
      <c r="C18" s="265" t="s">
        <v>3</v>
      </c>
      <c r="D18" s="266" t="s">
        <v>336</v>
      </c>
    </row>
    <row r="19" spans="1:9" x14ac:dyDescent="0.25">
      <c r="A19" s="1152"/>
      <c r="B19" s="561" t="s">
        <v>327</v>
      </c>
      <c r="C19" s="264" t="s">
        <v>335</v>
      </c>
      <c r="D19" s="466"/>
    </row>
    <row r="20" spans="1:9" ht="30" x14ac:dyDescent="0.25">
      <c r="A20" s="1152"/>
      <c r="B20" s="561" t="s">
        <v>328</v>
      </c>
      <c r="C20" s="264" t="s">
        <v>335</v>
      </c>
      <c r="D20" s="474"/>
      <c r="E20">
        <f>D20/2</f>
        <v>0</v>
      </c>
    </row>
    <row r="21" spans="1:9" ht="30" x14ac:dyDescent="0.25">
      <c r="A21" s="1152"/>
      <c r="B21" s="561" t="s">
        <v>329</v>
      </c>
      <c r="C21" s="264" t="s">
        <v>335</v>
      </c>
      <c r="D21" s="474"/>
      <c r="E21">
        <f>D21/2</f>
        <v>0</v>
      </c>
    </row>
    <row r="22" spans="1:9" ht="40.5" customHeight="1" x14ac:dyDescent="0.25">
      <c r="A22" s="1152"/>
      <c r="B22" s="561" t="s">
        <v>333</v>
      </c>
      <c r="C22" s="264" t="s">
        <v>297</v>
      </c>
      <c r="D22" s="467"/>
      <c r="E22">
        <f>D22/1000</f>
        <v>0</v>
      </c>
    </row>
    <row r="23" spans="1:9" ht="42" customHeight="1" x14ac:dyDescent="0.25">
      <c r="A23" s="1152"/>
      <c r="B23" s="561" t="s">
        <v>334</v>
      </c>
      <c r="C23" s="264" t="s">
        <v>297</v>
      </c>
      <c r="D23" s="467"/>
      <c r="E23">
        <f>D23/1000</f>
        <v>0</v>
      </c>
    </row>
    <row r="24" spans="1:9" ht="18.75" x14ac:dyDescent="0.3">
      <c r="A24" s="1152"/>
      <c r="B24" s="561" t="s">
        <v>331</v>
      </c>
      <c r="C24" s="264" t="s">
        <v>503</v>
      </c>
      <c r="D24" s="468">
        <f>(1.047*D19*(E21*E21+E20*E21+E20*E20))-(1.047*D19*((E21-E23)*(E21-E23)+(E20-E22)*(E21-E23)+(E20-E22)*(E20-E22)))</f>
        <v>0</v>
      </c>
    </row>
    <row r="25" spans="1:9" ht="19.5" thickBot="1" x14ac:dyDescent="0.35">
      <c r="A25" s="1153"/>
      <c r="B25" s="562" t="s">
        <v>332</v>
      </c>
      <c r="C25" s="267" t="s">
        <v>340</v>
      </c>
      <c r="D25" s="268">
        <f>MROUND((D24*D16),100)</f>
        <v>0</v>
      </c>
    </row>
    <row r="26" spans="1:9" ht="34.5" thickBot="1" x14ac:dyDescent="0.3">
      <c r="A26" s="559"/>
    </row>
    <row r="27" spans="1:9" x14ac:dyDescent="0.25">
      <c r="A27" s="1155">
        <v>3</v>
      </c>
      <c r="B27" s="1146" t="s">
        <v>594</v>
      </c>
      <c r="C27" s="1148" t="s">
        <v>433</v>
      </c>
      <c r="D27" s="1150">
        <f>MROUND((H27+H27*I27),50)</f>
        <v>1850</v>
      </c>
      <c r="H27">
        <v>1400</v>
      </c>
      <c r="I27" s="482">
        <f>I16</f>
        <v>0.32590000000000002</v>
      </c>
    </row>
    <row r="28" spans="1:9" x14ac:dyDescent="0.25">
      <c r="A28" s="1156"/>
      <c r="B28" s="1147"/>
      <c r="C28" s="1149"/>
      <c r="D28" s="1151"/>
    </row>
    <row r="29" spans="1:9" ht="45" x14ac:dyDescent="0.25">
      <c r="A29" s="1156"/>
      <c r="B29" s="556" t="s">
        <v>337</v>
      </c>
      <c r="C29" s="557" t="s">
        <v>3</v>
      </c>
      <c r="D29" s="558" t="s">
        <v>336</v>
      </c>
    </row>
    <row r="30" spans="1:9" x14ac:dyDescent="0.25">
      <c r="A30" s="1156"/>
      <c r="B30" s="549" t="s">
        <v>338</v>
      </c>
      <c r="C30" s="548" t="s">
        <v>335</v>
      </c>
      <c r="D30" s="550"/>
    </row>
    <row r="31" spans="1:9" x14ac:dyDescent="0.25">
      <c r="A31" s="1156"/>
      <c r="B31" s="549" t="s">
        <v>339</v>
      </c>
      <c r="C31" s="548" t="s">
        <v>297</v>
      </c>
      <c r="D31" s="551"/>
    </row>
    <row r="32" spans="1:9" ht="15.75" thickBot="1" x14ac:dyDescent="0.3">
      <c r="A32" s="1157"/>
      <c r="B32" s="552" t="s">
        <v>330</v>
      </c>
      <c r="C32" s="553" t="s">
        <v>340</v>
      </c>
      <c r="D32" s="554">
        <f>MROUND(((D31/1000)*3.14*D30*(D27)),100)</f>
        <v>0</v>
      </c>
      <c r="G32" s="482">
        <f>инфляция!A2</f>
        <v>0.32590000000000002</v>
      </c>
    </row>
    <row r="34" spans="1:4" ht="28.5" customHeight="1" x14ac:dyDescent="0.25">
      <c r="A34" s="1145" t="s">
        <v>668</v>
      </c>
      <c r="B34" s="1145"/>
      <c r="C34" s="1145"/>
      <c r="D34" s="1145"/>
    </row>
  </sheetData>
  <mergeCells count="16">
    <mergeCell ref="A34:D34"/>
    <mergeCell ref="B27:B28"/>
    <mergeCell ref="C27:C28"/>
    <mergeCell ref="D27:D28"/>
    <mergeCell ref="A2:D2"/>
    <mergeCell ref="A5:A14"/>
    <mergeCell ref="A16:A25"/>
    <mergeCell ref="A27:A32"/>
    <mergeCell ref="B5:B6"/>
    <mergeCell ref="C5:C6"/>
    <mergeCell ref="D5:D6"/>
    <mergeCell ref="B16:B17"/>
    <mergeCell ref="C16:C17"/>
    <mergeCell ref="D16:D17"/>
    <mergeCell ref="A3:D3"/>
    <mergeCell ref="A4:D4"/>
  </mergeCells>
  <hyperlinks>
    <hyperlink ref="F2" location="СОДЕРЖАНИЕ!A1" display="назад к содержанию" xr:uid="{7CCF339F-7F18-2E4C-87A6-B767F675D617}"/>
    <hyperlink ref="J2" location="Спасибо!A3" display="Спасибо!" xr:uid="{BF7FDBBF-7926-F74F-B959-8689CE269D0F}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5"/>
  <sheetViews>
    <sheetView workbookViewId="0">
      <selection activeCell="D36" sqref="D36"/>
    </sheetView>
  </sheetViews>
  <sheetFormatPr defaultRowHeight="18.75" x14ac:dyDescent="0.3"/>
  <cols>
    <col min="1" max="1" width="6.42578125" style="20" bestFit="1" customWidth="1"/>
    <col min="2" max="2" width="47.140625" style="51" customWidth="1"/>
    <col min="3" max="3" width="12.7109375" style="15" bestFit="1" customWidth="1"/>
    <col min="4" max="4" width="12.7109375" style="243" bestFit="1" customWidth="1"/>
    <col min="5" max="5" width="13.140625" style="18" customWidth="1"/>
    <col min="6" max="6" width="9.7109375" style="18" customWidth="1"/>
    <col min="7" max="7" width="9.85546875" style="18" customWidth="1"/>
    <col min="8" max="8" width="8.5703125" style="18"/>
    <col min="9" max="13" width="0" hidden="1" customWidth="1"/>
  </cols>
  <sheetData>
    <row r="1" spans="1:13" ht="19.5" thickBot="1" x14ac:dyDescent="0.35">
      <c r="B1" s="755" t="str">
        <f>'3.3 Демонтаж дымовых труб'!B1</f>
        <v>Актуально на 01 апреля 2022</v>
      </c>
    </row>
    <row r="2" spans="1:13" ht="30.75" thickBot="1" x14ac:dyDescent="0.4">
      <c r="A2" s="1171" t="s">
        <v>342</v>
      </c>
      <c r="B2" s="1172"/>
      <c r="C2" s="1171"/>
      <c r="D2" s="1171"/>
      <c r="E2" s="271" t="s">
        <v>302</v>
      </c>
      <c r="H2" s="579" t="s">
        <v>622</v>
      </c>
    </row>
    <row r="3" spans="1:13" ht="15" customHeight="1" x14ac:dyDescent="0.25">
      <c r="A3" s="995" t="s">
        <v>1</v>
      </c>
      <c r="B3" s="1137" t="s">
        <v>2</v>
      </c>
      <c r="C3" s="995" t="s">
        <v>3</v>
      </c>
      <c r="D3" s="1174" t="s">
        <v>4</v>
      </c>
      <c r="E3" s="1174"/>
      <c r="F3" s="1174"/>
      <c r="G3" s="1174"/>
    </row>
    <row r="4" spans="1:13" ht="15" customHeight="1" x14ac:dyDescent="0.25">
      <c r="A4" s="995"/>
      <c r="B4" s="1137"/>
      <c r="C4" s="995"/>
      <c r="D4" s="1174"/>
      <c r="E4" s="1174"/>
      <c r="F4" s="1174"/>
      <c r="G4" s="1174"/>
    </row>
    <row r="5" spans="1:13" ht="21.75" customHeight="1" x14ac:dyDescent="0.25">
      <c r="A5" s="995"/>
      <c r="B5" s="1137"/>
      <c r="C5" s="995"/>
      <c r="D5" s="1174" t="s">
        <v>354</v>
      </c>
      <c r="E5" s="1174"/>
      <c r="F5" s="1174"/>
      <c r="G5" s="1174"/>
    </row>
    <row r="6" spans="1:13" ht="44.25" customHeight="1" x14ac:dyDescent="0.25">
      <c r="A6" s="995"/>
      <c r="B6" s="1137"/>
      <c r="C6" s="995"/>
      <c r="D6" s="273" t="s">
        <v>350</v>
      </c>
      <c r="E6" s="274" t="s">
        <v>353</v>
      </c>
      <c r="F6" s="274" t="s">
        <v>351</v>
      </c>
      <c r="G6" s="274" t="s">
        <v>352</v>
      </c>
    </row>
    <row r="7" spans="1:13" ht="47.25" x14ac:dyDescent="0.25">
      <c r="A7" s="270">
        <v>1</v>
      </c>
      <c r="B7" s="272" t="s">
        <v>343</v>
      </c>
      <c r="C7" s="28" t="s">
        <v>433</v>
      </c>
      <c r="D7" s="106">
        <f>MROUND((I7+I7*M7),10)</f>
        <v>200</v>
      </c>
      <c r="E7" s="106">
        <f>MROUND((J7+J7*M7),10)</f>
        <v>230</v>
      </c>
      <c r="F7" s="106">
        <f>MROUND((K7+K7*M7),10)</f>
        <v>250</v>
      </c>
      <c r="G7" s="106">
        <f>MROUND((L7+L7*M7),10)</f>
        <v>270</v>
      </c>
      <c r="I7" s="106">
        <v>150</v>
      </c>
      <c r="J7" s="106">
        <v>170</v>
      </c>
      <c r="K7" s="106">
        <v>190</v>
      </c>
      <c r="L7" s="106">
        <v>200</v>
      </c>
      <c r="M7" s="482">
        <f>инфляция!A2</f>
        <v>0.32590000000000002</v>
      </c>
    </row>
    <row r="8" spans="1:13" ht="18.75" customHeight="1" x14ac:dyDescent="0.25">
      <c r="A8" s="1173" t="s">
        <v>344</v>
      </c>
      <c r="B8" s="1173"/>
      <c r="C8" s="1173"/>
      <c r="D8" s="1173"/>
      <c r="E8" s="1173"/>
      <c r="F8" s="1173"/>
      <c r="G8" s="1173"/>
      <c r="M8" s="482">
        <f>M7</f>
        <v>0.32590000000000002</v>
      </c>
    </row>
    <row r="9" spans="1:13" ht="30" x14ac:dyDescent="0.25">
      <c r="A9" s="260">
        <v>2</v>
      </c>
      <c r="B9" s="261" t="s">
        <v>345</v>
      </c>
      <c r="C9" s="28" t="s">
        <v>12</v>
      </c>
      <c r="D9" s="383">
        <f>MROUND((I9+I9*M9),10)</f>
        <v>230</v>
      </c>
      <c r="E9" s="106">
        <f>MROUND((J9+J9*M9),10)</f>
        <v>260</v>
      </c>
      <c r="F9" s="106">
        <f>MROUND((K9+K9*M9),10)</f>
        <v>290</v>
      </c>
      <c r="G9" s="106">
        <f>MROUND((L9+L9*M9),10)</f>
        <v>300</v>
      </c>
      <c r="I9" s="383">
        <v>170</v>
      </c>
      <c r="J9" s="106">
        <v>195</v>
      </c>
      <c r="K9" s="106">
        <v>215</v>
      </c>
      <c r="L9" s="106">
        <v>230</v>
      </c>
      <c r="M9" s="482">
        <f t="shared" ref="M9:M13" si="0">M8</f>
        <v>0.32590000000000002</v>
      </c>
    </row>
    <row r="10" spans="1:13" ht="30" x14ac:dyDescent="0.25">
      <c r="A10" s="260">
        <v>3</v>
      </c>
      <c r="B10" s="261" t="s">
        <v>346</v>
      </c>
      <c r="C10" s="28" t="s">
        <v>433</v>
      </c>
      <c r="D10" s="383">
        <f t="shared" ref="D10:D12" si="1">MROUND((I10+I10*M10),10)</f>
        <v>250</v>
      </c>
      <c r="E10" s="106">
        <f t="shared" ref="E10:E12" si="2">MROUND((J10+J10*M10),10)</f>
        <v>290</v>
      </c>
      <c r="F10" s="106">
        <f t="shared" ref="F10:F12" si="3">MROUND((K10+K10*M10),10)</f>
        <v>320</v>
      </c>
      <c r="G10" s="106">
        <f t="shared" ref="G10:G12" si="4">MROUND((L10+L10*M10),10)</f>
        <v>340</v>
      </c>
      <c r="I10" s="383">
        <v>190</v>
      </c>
      <c r="J10" s="106">
        <v>220</v>
      </c>
      <c r="K10" s="106">
        <v>240</v>
      </c>
      <c r="L10" s="106">
        <v>260</v>
      </c>
      <c r="M10" s="482">
        <f t="shared" si="0"/>
        <v>0.32590000000000002</v>
      </c>
    </row>
    <row r="11" spans="1:13" ht="30" x14ac:dyDescent="0.25">
      <c r="A11" s="260">
        <v>4</v>
      </c>
      <c r="B11" s="261" t="s">
        <v>347</v>
      </c>
      <c r="C11" s="28" t="s">
        <v>433</v>
      </c>
      <c r="D11" s="383">
        <f t="shared" si="1"/>
        <v>230</v>
      </c>
      <c r="E11" s="106">
        <f t="shared" si="2"/>
        <v>260</v>
      </c>
      <c r="F11" s="106">
        <f t="shared" si="3"/>
        <v>290</v>
      </c>
      <c r="G11" s="106">
        <f t="shared" si="4"/>
        <v>300</v>
      </c>
      <c r="I11" s="383">
        <v>170</v>
      </c>
      <c r="J11" s="106">
        <v>195</v>
      </c>
      <c r="K11" s="106">
        <v>215</v>
      </c>
      <c r="L11" s="106">
        <v>230</v>
      </c>
      <c r="M11" s="482">
        <f t="shared" si="0"/>
        <v>0.32590000000000002</v>
      </c>
    </row>
    <row r="12" spans="1:13" ht="30" x14ac:dyDescent="0.25">
      <c r="A12" s="260">
        <v>5</v>
      </c>
      <c r="B12" s="261" t="s">
        <v>348</v>
      </c>
      <c r="C12" s="28" t="s">
        <v>12</v>
      </c>
      <c r="D12" s="383">
        <f t="shared" si="1"/>
        <v>170</v>
      </c>
      <c r="E12" s="106">
        <f t="shared" si="2"/>
        <v>200</v>
      </c>
      <c r="F12" s="106">
        <f t="shared" si="3"/>
        <v>220</v>
      </c>
      <c r="G12" s="106">
        <f t="shared" si="4"/>
        <v>230</v>
      </c>
      <c r="I12" s="383">
        <v>130</v>
      </c>
      <c r="J12" s="106">
        <v>150</v>
      </c>
      <c r="K12" s="106">
        <v>165</v>
      </c>
      <c r="L12" s="106">
        <v>175</v>
      </c>
      <c r="M12" s="482">
        <f t="shared" si="0"/>
        <v>0.32590000000000002</v>
      </c>
    </row>
    <row r="13" spans="1:13" x14ac:dyDescent="0.25">
      <c r="A13" s="260">
        <v>6</v>
      </c>
      <c r="B13" s="261" t="s">
        <v>349</v>
      </c>
      <c r="C13" s="28" t="s">
        <v>35</v>
      </c>
      <c r="D13" s="383">
        <f>MROUND((I13+I13*M13),50)</f>
        <v>1050</v>
      </c>
      <c r="E13" s="106">
        <f>MROUND((J13+J13*M13),50)</f>
        <v>1200</v>
      </c>
      <c r="F13" s="106">
        <f>MROUND((K13+K13*M13),50)</f>
        <v>1350</v>
      </c>
      <c r="G13" s="106">
        <f>MROUND((L13+L13*M13),50)</f>
        <v>1450</v>
      </c>
      <c r="I13" s="383">
        <v>800</v>
      </c>
      <c r="J13" s="106">
        <v>920</v>
      </c>
      <c r="K13" s="106">
        <v>1000</v>
      </c>
      <c r="L13" s="106">
        <v>1080</v>
      </c>
      <c r="M13" s="482">
        <f t="shared" si="0"/>
        <v>0.32590000000000002</v>
      </c>
    </row>
    <row r="15" spans="1:13" ht="18.75" customHeight="1" x14ac:dyDescent="0.25">
      <c r="A15" s="858" t="s">
        <v>668</v>
      </c>
      <c r="B15" s="858"/>
      <c r="C15" s="858"/>
      <c r="D15" s="858"/>
      <c r="E15" s="858"/>
      <c r="F15" s="858"/>
      <c r="G15" s="858"/>
    </row>
  </sheetData>
  <mergeCells count="8">
    <mergeCell ref="A15:G15"/>
    <mergeCell ref="A2:D2"/>
    <mergeCell ref="A8:G8"/>
    <mergeCell ref="A3:A6"/>
    <mergeCell ref="B3:B6"/>
    <mergeCell ref="C3:C6"/>
    <mergeCell ref="D3:G4"/>
    <mergeCell ref="D5:G5"/>
  </mergeCells>
  <phoneticPr fontId="17" alignment="center"/>
  <hyperlinks>
    <hyperlink ref="E2" location="СОДЕРЖАНИЕ!A1" display="назад к содержанию" xr:uid="{00000000-0004-0000-1A00-000000000000}"/>
    <hyperlink ref="H2" location="Спасибо!A3" display="Спасибо!" xr:uid="{FEA41675-FC53-9F46-8C22-549770F32371}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26"/>
  <sheetViews>
    <sheetView workbookViewId="0">
      <selection activeCell="C36" sqref="C36"/>
    </sheetView>
  </sheetViews>
  <sheetFormatPr defaultRowHeight="18.75" x14ac:dyDescent="0.3"/>
  <cols>
    <col min="1" max="1" width="6.42578125" style="20" bestFit="1" customWidth="1"/>
    <col min="2" max="2" width="28" style="51" customWidth="1"/>
    <col min="3" max="3" width="12.7109375" style="15" bestFit="1" customWidth="1"/>
    <col min="4" max="4" width="11.42578125" style="243" bestFit="1" customWidth="1"/>
    <col min="5" max="5" width="13.140625" style="18" customWidth="1"/>
    <col min="6" max="7" width="11.42578125" style="18" bestFit="1" customWidth="1"/>
    <col min="8" max="8" width="8.5703125" style="18"/>
    <col min="9" max="13" width="0" hidden="1" customWidth="1"/>
  </cols>
  <sheetData>
    <row r="1" spans="1:14" ht="31.5" thickBot="1" x14ac:dyDescent="0.35">
      <c r="B1" s="755" t="str">
        <f>'3.4 Защита склонов от осыпей'!B1</f>
        <v>Актуально на 01 апреля 2022</v>
      </c>
    </row>
    <row r="2" spans="1:14" ht="45.75" thickBot="1" x14ac:dyDescent="0.4">
      <c r="A2" s="1181" t="s">
        <v>355</v>
      </c>
      <c r="B2" s="1182"/>
      <c r="C2" s="1182"/>
      <c r="D2" s="1182"/>
      <c r="E2" s="1182"/>
      <c r="F2" s="1182"/>
      <c r="G2" s="1183"/>
      <c r="H2" s="271" t="s">
        <v>302</v>
      </c>
      <c r="I2" s="18"/>
      <c r="N2" s="579" t="s">
        <v>622</v>
      </c>
    </row>
    <row r="3" spans="1:14" ht="15" customHeight="1" x14ac:dyDescent="0.25">
      <c r="A3" s="995" t="s">
        <v>1</v>
      </c>
      <c r="B3" s="1137" t="s">
        <v>2</v>
      </c>
      <c r="C3" s="995" t="s">
        <v>3</v>
      </c>
      <c r="D3" s="1174" t="s">
        <v>4</v>
      </c>
      <c r="E3" s="1174"/>
      <c r="F3" s="1174"/>
      <c r="G3" s="1174"/>
      <c r="N3" s="18"/>
    </row>
    <row r="4" spans="1:14" ht="15" customHeight="1" thickBot="1" x14ac:dyDescent="0.3">
      <c r="A4" s="995"/>
      <c r="B4" s="1137"/>
      <c r="C4" s="995"/>
      <c r="D4" s="1174"/>
      <c r="E4" s="1174"/>
      <c r="F4" s="1174"/>
      <c r="G4" s="1174"/>
    </row>
    <row r="5" spans="1:14" ht="21.75" customHeight="1" thickTop="1" thickBot="1" x14ac:dyDescent="0.3">
      <c r="A5" s="995"/>
      <c r="B5" s="1137"/>
      <c r="C5" s="995"/>
      <c r="D5" s="1184" t="s">
        <v>204</v>
      </c>
      <c r="E5" s="1185"/>
      <c r="F5" s="1186" t="s">
        <v>205</v>
      </c>
      <c r="G5" s="1187"/>
    </row>
    <row r="6" spans="1:14" ht="44.25" customHeight="1" thickTop="1" thickBot="1" x14ac:dyDescent="0.3">
      <c r="A6" s="995"/>
      <c r="B6" s="1137"/>
      <c r="C6" s="995"/>
      <c r="D6" s="175" t="s">
        <v>207</v>
      </c>
      <c r="E6" s="176" t="s">
        <v>206</v>
      </c>
      <c r="F6" s="177" t="s">
        <v>207</v>
      </c>
      <c r="G6" s="178" t="s">
        <v>206</v>
      </c>
    </row>
    <row r="7" spans="1:14" ht="60.75" thickTop="1" x14ac:dyDescent="0.25">
      <c r="A7" s="275">
        <v>1</v>
      </c>
      <c r="B7" s="160" t="s">
        <v>356</v>
      </c>
      <c r="C7" s="275" t="s">
        <v>433</v>
      </c>
      <c r="D7" s="284">
        <f>MROUND((I7+I7*M7),10)</f>
        <v>190</v>
      </c>
      <c r="E7" s="284">
        <f>MROUND((J7+J7*M7),10)</f>
        <v>170</v>
      </c>
      <c r="F7" s="284">
        <f>MROUND((K7+K7*M7),10)</f>
        <v>170</v>
      </c>
      <c r="G7" s="284">
        <f>MROUND((L7+L7*M7),10)</f>
        <v>150</v>
      </c>
      <c r="I7" s="284">
        <v>140</v>
      </c>
      <c r="J7" s="284">
        <v>125</v>
      </c>
      <c r="K7" s="284">
        <v>130</v>
      </c>
      <c r="L7" s="284">
        <v>115</v>
      </c>
      <c r="M7" s="482">
        <f>инфляция!A2</f>
        <v>0.32590000000000002</v>
      </c>
    </row>
    <row r="8" spans="1:14" ht="45" x14ac:dyDescent="0.25">
      <c r="A8" s="276">
        <v>2</v>
      </c>
      <c r="B8" s="277" t="s">
        <v>357</v>
      </c>
      <c r="C8" s="276" t="s">
        <v>433</v>
      </c>
      <c r="D8" s="284">
        <f t="shared" ref="D8:D10" si="0">MROUND((I8+I8*M8),10)</f>
        <v>250</v>
      </c>
      <c r="E8" s="284">
        <f t="shared" ref="E8:E10" si="1">MROUND((J8+J8*M8),10)</f>
        <v>230</v>
      </c>
      <c r="F8" s="284">
        <f t="shared" ref="F8:F10" si="2">MROUND((K8+K8*M8),10)</f>
        <v>230</v>
      </c>
      <c r="G8" s="284">
        <f t="shared" ref="G8:G10" si="3">MROUND((L8+L8*M8),10)</f>
        <v>210</v>
      </c>
      <c r="I8" s="285">
        <v>190</v>
      </c>
      <c r="J8" s="285">
        <v>170</v>
      </c>
      <c r="K8" s="285">
        <v>175</v>
      </c>
      <c r="L8" s="285">
        <v>155</v>
      </c>
      <c r="M8" s="482">
        <f>M7</f>
        <v>0.32590000000000002</v>
      </c>
    </row>
    <row r="9" spans="1:14" ht="45" x14ac:dyDescent="0.25">
      <c r="A9" s="278">
        <v>3</v>
      </c>
      <c r="B9" s="279" t="s">
        <v>358</v>
      </c>
      <c r="C9" s="278" t="s">
        <v>433</v>
      </c>
      <c r="D9" s="284">
        <f t="shared" si="0"/>
        <v>360</v>
      </c>
      <c r="E9" s="284">
        <f t="shared" si="1"/>
        <v>310</v>
      </c>
      <c r="F9" s="284">
        <f t="shared" si="2"/>
        <v>330</v>
      </c>
      <c r="G9" s="284">
        <f t="shared" si="3"/>
        <v>290</v>
      </c>
      <c r="I9" s="286">
        <v>270</v>
      </c>
      <c r="J9" s="286">
        <v>235</v>
      </c>
      <c r="K9" s="286">
        <v>250</v>
      </c>
      <c r="L9" s="286">
        <v>220</v>
      </c>
      <c r="M9" s="482">
        <f t="shared" ref="M9:M20" si="4">M8</f>
        <v>0.32590000000000002</v>
      </c>
    </row>
    <row r="10" spans="1:14" ht="30" x14ac:dyDescent="0.25">
      <c r="A10" s="280">
        <v>4</v>
      </c>
      <c r="B10" s="281" t="s">
        <v>359</v>
      </c>
      <c r="C10" s="280" t="s">
        <v>433</v>
      </c>
      <c r="D10" s="284">
        <f t="shared" si="0"/>
        <v>290</v>
      </c>
      <c r="E10" s="284">
        <f t="shared" si="1"/>
        <v>250</v>
      </c>
      <c r="F10" s="284">
        <f t="shared" si="2"/>
        <v>270</v>
      </c>
      <c r="G10" s="284">
        <f t="shared" si="3"/>
        <v>230</v>
      </c>
      <c r="I10" s="287">
        <v>215</v>
      </c>
      <c r="J10" s="287">
        <v>190</v>
      </c>
      <c r="K10" s="287">
        <v>200</v>
      </c>
      <c r="L10" s="287">
        <v>175</v>
      </c>
      <c r="M10" s="482">
        <f t="shared" si="4"/>
        <v>0.32590000000000002</v>
      </c>
    </row>
    <row r="11" spans="1:14" ht="18.75" customHeight="1" x14ac:dyDescent="0.25">
      <c r="A11" s="1178"/>
      <c r="B11" s="1179"/>
      <c r="C11" s="1179"/>
      <c r="D11" s="1179"/>
      <c r="E11" s="1179"/>
      <c r="F11" s="1179"/>
      <c r="G11" s="1180"/>
      <c r="M11" s="482">
        <f t="shared" si="4"/>
        <v>0.32590000000000002</v>
      </c>
    </row>
    <row r="12" spans="1:14" ht="30" x14ac:dyDescent="0.25">
      <c r="A12" s="260">
        <v>5</v>
      </c>
      <c r="B12" s="261" t="s">
        <v>360</v>
      </c>
      <c r="C12" s="28" t="s">
        <v>433</v>
      </c>
      <c r="D12" s="288">
        <f>MROUND((I12+I12*M12),10)</f>
        <v>580</v>
      </c>
      <c r="E12" s="289">
        <f>MROUND((J12+J12*M12),10)</f>
        <v>500</v>
      </c>
      <c r="F12" s="289">
        <f>MROUND((K12+K12*M12),10)</f>
        <v>530</v>
      </c>
      <c r="G12" s="289">
        <f>MROUND((L12+L12*M12),10)</f>
        <v>460</v>
      </c>
      <c r="I12" s="288">
        <v>435</v>
      </c>
      <c r="J12" s="289">
        <v>380</v>
      </c>
      <c r="K12" s="289">
        <v>400</v>
      </c>
      <c r="L12" s="289">
        <v>350</v>
      </c>
      <c r="M12" s="482">
        <f t="shared" si="4"/>
        <v>0.32590000000000002</v>
      </c>
    </row>
    <row r="13" spans="1:14" ht="27.6" customHeight="1" x14ac:dyDescent="0.25">
      <c r="A13" s="1026" t="s">
        <v>368</v>
      </c>
      <c r="B13" s="1027"/>
      <c r="C13" s="1027"/>
      <c r="D13" s="1027"/>
      <c r="E13" s="1027"/>
      <c r="F13" s="1027"/>
      <c r="G13" s="1028"/>
      <c r="M13" s="482">
        <f t="shared" si="4"/>
        <v>0.32590000000000002</v>
      </c>
    </row>
    <row r="14" spans="1:14" ht="15.75" x14ac:dyDescent="0.25">
      <c r="A14" s="282">
        <v>6</v>
      </c>
      <c r="B14" s="283" t="s">
        <v>361</v>
      </c>
      <c r="C14" s="28" t="s">
        <v>433</v>
      </c>
      <c r="D14" s="288">
        <f>MROUND((I14+I14*M14),10)</f>
        <v>260</v>
      </c>
      <c r="E14" s="289">
        <f>MROUND((J14+J14*M14),10)</f>
        <v>230</v>
      </c>
      <c r="F14" s="289">
        <f>MROUND((K14+K14*M14),10)</f>
        <v>240</v>
      </c>
      <c r="G14" s="289">
        <f>MROUND((L14+L14*M14),10)</f>
        <v>210</v>
      </c>
      <c r="I14" s="288">
        <v>195</v>
      </c>
      <c r="J14" s="289">
        <v>170</v>
      </c>
      <c r="K14" s="289">
        <v>180</v>
      </c>
      <c r="L14" s="289">
        <v>160</v>
      </c>
      <c r="M14" s="482">
        <f t="shared" si="4"/>
        <v>0.32590000000000002</v>
      </c>
    </row>
    <row r="15" spans="1:14" ht="15.75" x14ac:dyDescent="0.25">
      <c r="A15" s="282">
        <v>7</v>
      </c>
      <c r="B15" s="283" t="s">
        <v>362</v>
      </c>
      <c r="C15" s="28" t="s">
        <v>433</v>
      </c>
      <c r="D15" s="288">
        <f t="shared" ref="D15:D20" si="5">MROUND((I15+I15*M15),10)</f>
        <v>340</v>
      </c>
      <c r="E15" s="289">
        <f t="shared" ref="E15:E20" si="6">MROUND((J15+J15*M15),10)</f>
        <v>300</v>
      </c>
      <c r="F15" s="289">
        <f t="shared" ref="F15:F20" si="7">MROUND((K15+K15*M15),10)</f>
        <v>320</v>
      </c>
      <c r="G15" s="289">
        <f t="shared" ref="G15:G20" si="8">MROUND((L15+L15*M15),10)</f>
        <v>280</v>
      </c>
      <c r="I15" s="288">
        <v>260</v>
      </c>
      <c r="J15" s="289">
        <v>225</v>
      </c>
      <c r="K15" s="289">
        <v>240</v>
      </c>
      <c r="L15" s="289">
        <v>210</v>
      </c>
      <c r="M15" s="482">
        <f t="shared" si="4"/>
        <v>0.32590000000000002</v>
      </c>
    </row>
    <row r="16" spans="1:14" ht="15.75" x14ac:dyDescent="0.25">
      <c r="A16" s="282">
        <v>8</v>
      </c>
      <c r="B16" s="283" t="s">
        <v>363</v>
      </c>
      <c r="C16" s="28" t="s">
        <v>433</v>
      </c>
      <c r="D16" s="288">
        <f t="shared" si="5"/>
        <v>430</v>
      </c>
      <c r="E16" s="289">
        <f t="shared" si="6"/>
        <v>370</v>
      </c>
      <c r="F16" s="289">
        <f t="shared" si="7"/>
        <v>400</v>
      </c>
      <c r="G16" s="289">
        <f t="shared" si="8"/>
        <v>340</v>
      </c>
      <c r="I16" s="288">
        <v>325</v>
      </c>
      <c r="J16" s="289">
        <v>280</v>
      </c>
      <c r="K16" s="289">
        <v>300</v>
      </c>
      <c r="L16" s="289">
        <v>260</v>
      </c>
      <c r="M16" s="482">
        <f t="shared" si="4"/>
        <v>0.32590000000000002</v>
      </c>
    </row>
    <row r="17" spans="1:13" ht="15.75" x14ac:dyDescent="0.25">
      <c r="A17" s="282">
        <v>9</v>
      </c>
      <c r="B17" s="283" t="s">
        <v>364</v>
      </c>
      <c r="C17" s="28" t="s">
        <v>433</v>
      </c>
      <c r="D17" s="288">
        <f t="shared" si="5"/>
        <v>530</v>
      </c>
      <c r="E17" s="289">
        <f t="shared" si="6"/>
        <v>460</v>
      </c>
      <c r="F17" s="289">
        <f t="shared" si="7"/>
        <v>490</v>
      </c>
      <c r="G17" s="289">
        <f t="shared" si="8"/>
        <v>420</v>
      </c>
      <c r="I17" s="288">
        <v>400</v>
      </c>
      <c r="J17" s="289">
        <v>350</v>
      </c>
      <c r="K17" s="289">
        <v>370</v>
      </c>
      <c r="L17" s="289">
        <v>320</v>
      </c>
      <c r="M17" s="482">
        <f t="shared" si="4"/>
        <v>0.32590000000000002</v>
      </c>
    </row>
    <row r="18" spans="1:13" ht="15.75" x14ac:dyDescent="0.25">
      <c r="A18" s="282">
        <v>10</v>
      </c>
      <c r="B18" s="283" t="s">
        <v>365</v>
      </c>
      <c r="C18" s="28" t="s">
        <v>433</v>
      </c>
      <c r="D18" s="288">
        <f t="shared" si="5"/>
        <v>690</v>
      </c>
      <c r="E18" s="289">
        <f t="shared" si="6"/>
        <v>600</v>
      </c>
      <c r="F18" s="289">
        <f t="shared" si="7"/>
        <v>640</v>
      </c>
      <c r="G18" s="289">
        <f t="shared" si="8"/>
        <v>560</v>
      </c>
      <c r="I18" s="288">
        <v>520</v>
      </c>
      <c r="J18" s="289">
        <v>450</v>
      </c>
      <c r="K18" s="289">
        <v>480</v>
      </c>
      <c r="L18" s="289">
        <v>420</v>
      </c>
      <c r="M18" s="482">
        <f t="shared" si="4"/>
        <v>0.32590000000000002</v>
      </c>
    </row>
    <row r="19" spans="1:13" ht="15.75" x14ac:dyDescent="0.25">
      <c r="A19" s="282">
        <v>11</v>
      </c>
      <c r="B19" s="283" t="s">
        <v>366</v>
      </c>
      <c r="C19" s="28" t="s">
        <v>433</v>
      </c>
      <c r="D19" s="288">
        <f t="shared" si="5"/>
        <v>1010</v>
      </c>
      <c r="E19" s="289">
        <f t="shared" si="6"/>
        <v>860</v>
      </c>
      <c r="F19" s="289">
        <f t="shared" si="7"/>
        <v>930</v>
      </c>
      <c r="G19" s="289">
        <f t="shared" si="8"/>
        <v>820</v>
      </c>
      <c r="I19" s="288">
        <v>760</v>
      </c>
      <c r="J19" s="289">
        <v>650</v>
      </c>
      <c r="K19" s="289">
        <v>700</v>
      </c>
      <c r="L19" s="289">
        <v>615</v>
      </c>
      <c r="M19" s="482">
        <f t="shared" si="4"/>
        <v>0.32590000000000002</v>
      </c>
    </row>
    <row r="20" spans="1:13" ht="15.75" x14ac:dyDescent="0.25">
      <c r="A20" s="282">
        <v>12</v>
      </c>
      <c r="B20" s="283" t="s">
        <v>367</v>
      </c>
      <c r="C20" s="28" t="s">
        <v>433</v>
      </c>
      <c r="D20" s="288">
        <f t="shared" si="5"/>
        <v>1150</v>
      </c>
      <c r="E20" s="289">
        <f t="shared" si="6"/>
        <v>1010</v>
      </c>
      <c r="F20" s="289">
        <f t="shared" si="7"/>
        <v>1060</v>
      </c>
      <c r="G20" s="289">
        <f t="shared" si="8"/>
        <v>930</v>
      </c>
      <c r="I20" s="288">
        <v>870</v>
      </c>
      <c r="J20" s="289">
        <v>760</v>
      </c>
      <c r="K20" s="289">
        <v>800</v>
      </c>
      <c r="L20" s="289">
        <v>700</v>
      </c>
      <c r="M20" s="482">
        <f t="shared" si="4"/>
        <v>0.32590000000000002</v>
      </c>
    </row>
    <row r="21" spans="1:13" ht="19.5" thickBot="1" x14ac:dyDescent="0.35"/>
    <row r="22" spans="1:13" ht="41.45" customHeight="1" thickTop="1" thickBot="1" x14ac:dyDescent="0.3">
      <c r="A22" s="181" t="s">
        <v>194</v>
      </c>
      <c r="B22" s="1038" t="s">
        <v>563</v>
      </c>
      <c r="C22" s="1039"/>
      <c r="D22" s="1039"/>
      <c r="E22" s="1039"/>
      <c r="F22" s="1039"/>
      <c r="G22" s="1040"/>
    </row>
    <row r="23" spans="1:13" ht="20.25" thickTop="1" thickBot="1" x14ac:dyDescent="0.35"/>
    <row r="24" spans="1:13" ht="37.5" customHeight="1" thickBot="1" x14ac:dyDescent="0.3">
      <c r="A24" s="1175" t="s">
        <v>369</v>
      </c>
      <c r="B24" s="1176"/>
      <c r="C24" s="1176"/>
      <c r="D24" s="1176"/>
      <c r="E24" s="1176"/>
      <c r="F24" s="1176"/>
      <c r="G24" s="1177"/>
    </row>
    <row r="26" spans="1:13" ht="18.75" customHeight="1" x14ac:dyDescent="0.25">
      <c r="A26" s="858" t="s">
        <v>668</v>
      </c>
      <c r="B26" s="858"/>
      <c r="C26" s="858"/>
      <c r="D26" s="858"/>
      <c r="E26" s="858"/>
      <c r="F26" s="858"/>
      <c r="G26" s="858"/>
    </row>
  </sheetData>
  <mergeCells count="12">
    <mergeCell ref="A26:G26"/>
    <mergeCell ref="A24:G24"/>
    <mergeCell ref="A13:G13"/>
    <mergeCell ref="A11:G11"/>
    <mergeCell ref="A2:G2"/>
    <mergeCell ref="B22:G22"/>
    <mergeCell ref="D5:E5"/>
    <mergeCell ref="F5:G5"/>
    <mergeCell ref="A3:A6"/>
    <mergeCell ref="B3:B6"/>
    <mergeCell ref="C3:C6"/>
    <mergeCell ref="D3:G4"/>
  </mergeCells>
  <phoneticPr fontId="17" alignment="center"/>
  <hyperlinks>
    <hyperlink ref="H2" location="СОДЕРЖАНИЕ!A1" display="назад к содержанию" xr:uid="{00000000-0004-0000-1B00-000000000000}"/>
    <hyperlink ref="N2" location="Спасибо!A3" display="Спасибо!" xr:uid="{FC67ADD5-EC23-C644-B7AA-B29893EFAC94}"/>
  </hyperlink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28"/>
  <sheetViews>
    <sheetView topLeftCell="F1" workbookViewId="0">
      <selection activeCell="H2" sqref="H2"/>
    </sheetView>
  </sheetViews>
  <sheetFormatPr defaultRowHeight="15.75" x14ac:dyDescent="0.25"/>
  <cols>
    <col min="1" max="1" width="6.42578125" style="20" bestFit="1" customWidth="1"/>
    <col min="2" max="2" width="35.5703125" style="51" customWidth="1"/>
    <col min="3" max="3" width="12.7109375" style="15" bestFit="1" customWidth="1"/>
    <col min="4" max="4" width="11.42578125" style="290" bestFit="1" customWidth="1"/>
    <col min="5" max="5" width="13.140625" style="291" customWidth="1"/>
    <col min="6" max="7" width="11.42578125" style="291" bestFit="1" customWidth="1"/>
    <col min="8" max="8" width="8.5703125" style="18"/>
    <col min="9" max="13" width="0" hidden="1" customWidth="1"/>
  </cols>
  <sheetData>
    <row r="1" spans="1:14" ht="16.5" thickBot="1" x14ac:dyDescent="0.3">
      <c r="B1" s="755" t="str">
        <f>'3.5 Огнезащита'!B1</f>
        <v>Актуально на 01 апреля 2022</v>
      </c>
    </row>
    <row r="2" spans="1:14" ht="45.75" thickBot="1" x14ac:dyDescent="0.4">
      <c r="A2" s="1100" t="s">
        <v>370</v>
      </c>
      <c r="B2" s="1101"/>
      <c r="C2" s="1100"/>
      <c r="D2" s="1100"/>
      <c r="E2" s="1100"/>
      <c r="F2" s="1100"/>
      <c r="G2" s="1100"/>
      <c r="H2" s="292" t="s">
        <v>302</v>
      </c>
      <c r="I2" s="18"/>
      <c r="N2" s="579" t="s">
        <v>622</v>
      </c>
    </row>
    <row r="3" spans="1:14" x14ac:dyDescent="0.25">
      <c r="A3" s="995"/>
      <c r="B3" s="1137" t="s">
        <v>337</v>
      </c>
      <c r="C3" s="995" t="s">
        <v>3</v>
      </c>
      <c r="D3" s="1194" t="s">
        <v>375</v>
      </c>
      <c r="E3" s="1194"/>
      <c r="F3" s="1194"/>
      <c r="G3" s="1194"/>
      <c r="N3" s="18"/>
    </row>
    <row r="4" spans="1:14" ht="31.5" x14ac:dyDescent="0.25">
      <c r="A4" s="995"/>
      <c r="B4" s="1137"/>
      <c r="C4" s="995"/>
      <c r="D4" s="293" t="s">
        <v>371</v>
      </c>
      <c r="E4" s="294" t="s">
        <v>372</v>
      </c>
      <c r="F4" s="295" t="s">
        <v>373</v>
      </c>
      <c r="G4" s="296" t="s">
        <v>374</v>
      </c>
    </row>
    <row r="5" spans="1:14" ht="30" x14ac:dyDescent="0.25">
      <c r="A5" s="280">
        <v>1</v>
      </c>
      <c r="B5" s="306" t="s">
        <v>376</v>
      </c>
      <c r="C5" s="307" t="s">
        <v>433</v>
      </c>
      <c r="D5" s="293">
        <f>MROUND((I5+I5*M5),1)</f>
        <v>232</v>
      </c>
      <c r="E5" s="284">
        <f>MROUND((J5+J5*M5),1)</f>
        <v>219</v>
      </c>
      <c r="F5" s="285">
        <f>MROUND((K5+K5*M5),1)</f>
        <v>212</v>
      </c>
      <c r="G5" s="313">
        <f>MROUND((L5+L5*M5),1)</f>
        <v>199</v>
      </c>
      <c r="I5" s="293">
        <v>175</v>
      </c>
      <c r="J5" s="284">
        <v>165</v>
      </c>
      <c r="K5" s="285">
        <v>160</v>
      </c>
      <c r="L5" s="313">
        <v>150</v>
      </c>
      <c r="M5" s="482">
        <f>инфляция!A2</f>
        <v>0.32590000000000002</v>
      </c>
    </row>
    <row r="6" spans="1:14" ht="30" x14ac:dyDescent="0.25">
      <c r="A6" s="302">
        <v>2</v>
      </c>
      <c r="B6" s="303" t="s">
        <v>377</v>
      </c>
      <c r="C6" s="304" t="s">
        <v>433</v>
      </c>
      <c r="D6" s="293">
        <f t="shared" ref="D6:D15" si="0">MROUND((I6+I6*M6),1)</f>
        <v>126</v>
      </c>
      <c r="E6" s="284">
        <f t="shared" ref="E6:E15" si="1">MROUND((J6+J6*M6),1)</f>
        <v>119</v>
      </c>
      <c r="F6" s="285">
        <f t="shared" ref="F6:F15" si="2">MROUND((K6+K6*M6),1)</f>
        <v>113</v>
      </c>
      <c r="G6" s="313">
        <f t="shared" ref="G6:G15" si="3">MROUND((L6+L6*M6),1)</f>
        <v>106</v>
      </c>
      <c r="I6" s="293">
        <v>95</v>
      </c>
      <c r="J6" s="284">
        <v>90</v>
      </c>
      <c r="K6" s="285">
        <v>85</v>
      </c>
      <c r="L6" s="313">
        <v>80</v>
      </c>
      <c r="M6" s="482">
        <f>M5</f>
        <v>0.32590000000000002</v>
      </c>
    </row>
    <row r="7" spans="1:14" ht="30" x14ac:dyDescent="0.25">
      <c r="A7" s="302">
        <v>3</v>
      </c>
      <c r="B7" s="303" t="s">
        <v>378</v>
      </c>
      <c r="C7" s="304" t="s">
        <v>433</v>
      </c>
      <c r="D7" s="293">
        <f t="shared" si="0"/>
        <v>179</v>
      </c>
      <c r="E7" s="284">
        <f t="shared" si="1"/>
        <v>166</v>
      </c>
      <c r="F7" s="285">
        <f t="shared" si="2"/>
        <v>159</v>
      </c>
      <c r="G7" s="313">
        <f t="shared" si="3"/>
        <v>152</v>
      </c>
      <c r="I7" s="293">
        <v>135</v>
      </c>
      <c r="J7" s="284">
        <v>125</v>
      </c>
      <c r="K7" s="285">
        <v>120</v>
      </c>
      <c r="L7" s="313">
        <v>115</v>
      </c>
      <c r="M7" s="482">
        <f t="shared" ref="M7:M20" si="4">M6</f>
        <v>0.32590000000000002</v>
      </c>
    </row>
    <row r="8" spans="1:14" ht="45" x14ac:dyDescent="0.25">
      <c r="A8" s="302">
        <v>4</v>
      </c>
      <c r="B8" s="303" t="s">
        <v>379</v>
      </c>
      <c r="C8" s="304" t="s">
        <v>433</v>
      </c>
      <c r="D8" s="293">
        <f t="shared" si="0"/>
        <v>66</v>
      </c>
      <c r="E8" s="284">
        <f t="shared" si="1"/>
        <v>64</v>
      </c>
      <c r="F8" s="285">
        <f t="shared" si="2"/>
        <v>60</v>
      </c>
      <c r="G8" s="313">
        <f t="shared" si="3"/>
        <v>57</v>
      </c>
      <c r="I8" s="293">
        <v>50</v>
      </c>
      <c r="J8" s="284">
        <v>48</v>
      </c>
      <c r="K8" s="285">
        <v>45</v>
      </c>
      <c r="L8" s="313">
        <v>43</v>
      </c>
      <c r="M8" s="482">
        <f t="shared" si="4"/>
        <v>0.32590000000000002</v>
      </c>
    </row>
    <row r="9" spans="1:14" ht="45" x14ac:dyDescent="0.25">
      <c r="A9" s="302">
        <v>5</v>
      </c>
      <c r="B9" s="303" t="s">
        <v>380</v>
      </c>
      <c r="C9" s="304" t="s">
        <v>433</v>
      </c>
      <c r="D9" s="293">
        <f t="shared" si="0"/>
        <v>113</v>
      </c>
      <c r="E9" s="284">
        <f t="shared" si="1"/>
        <v>107</v>
      </c>
      <c r="F9" s="285">
        <f t="shared" si="2"/>
        <v>102</v>
      </c>
      <c r="G9" s="313">
        <f t="shared" si="3"/>
        <v>95</v>
      </c>
      <c r="I9" s="293">
        <v>85</v>
      </c>
      <c r="J9" s="284">
        <v>81</v>
      </c>
      <c r="K9" s="285">
        <v>77</v>
      </c>
      <c r="L9" s="313">
        <v>72</v>
      </c>
      <c r="M9" s="482">
        <f t="shared" si="4"/>
        <v>0.32590000000000002</v>
      </c>
    </row>
    <row r="10" spans="1:14" ht="45" x14ac:dyDescent="0.25">
      <c r="A10" s="308">
        <v>6</v>
      </c>
      <c r="B10" s="58" t="s">
        <v>382</v>
      </c>
      <c r="C10" s="309" t="s">
        <v>433</v>
      </c>
      <c r="D10" s="293">
        <f t="shared" si="0"/>
        <v>80</v>
      </c>
      <c r="E10" s="284">
        <f t="shared" si="1"/>
        <v>76</v>
      </c>
      <c r="F10" s="285">
        <f t="shared" si="2"/>
        <v>72</v>
      </c>
      <c r="G10" s="313">
        <f t="shared" si="3"/>
        <v>68</v>
      </c>
      <c r="I10" s="293">
        <v>60</v>
      </c>
      <c r="J10" s="284">
        <v>57</v>
      </c>
      <c r="K10" s="285">
        <v>54</v>
      </c>
      <c r="L10" s="313">
        <v>51</v>
      </c>
      <c r="M10" s="482">
        <f t="shared" si="4"/>
        <v>0.32590000000000002</v>
      </c>
    </row>
    <row r="11" spans="1:14" ht="45" x14ac:dyDescent="0.25">
      <c r="A11" s="308">
        <v>7</v>
      </c>
      <c r="B11" s="58" t="s">
        <v>381</v>
      </c>
      <c r="C11" s="309" t="s">
        <v>433</v>
      </c>
      <c r="D11" s="293">
        <f t="shared" si="0"/>
        <v>53</v>
      </c>
      <c r="E11" s="284">
        <f t="shared" si="1"/>
        <v>50</v>
      </c>
      <c r="F11" s="285">
        <f t="shared" si="2"/>
        <v>48</v>
      </c>
      <c r="G11" s="313">
        <f t="shared" si="3"/>
        <v>45</v>
      </c>
      <c r="I11" s="293">
        <v>40</v>
      </c>
      <c r="J11" s="284">
        <v>38</v>
      </c>
      <c r="K11" s="285">
        <v>36</v>
      </c>
      <c r="L11" s="313">
        <v>34</v>
      </c>
      <c r="M11" s="482">
        <f t="shared" si="4"/>
        <v>0.32590000000000002</v>
      </c>
    </row>
    <row r="12" spans="1:14" x14ac:dyDescent="0.25">
      <c r="A12" s="310">
        <v>8</v>
      </c>
      <c r="B12" s="311" t="s">
        <v>383</v>
      </c>
      <c r="C12" s="312" t="s">
        <v>433</v>
      </c>
      <c r="D12" s="293">
        <f t="shared" si="0"/>
        <v>80</v>
      </c>
      <c r="E12" s="284">
        <f t="shared" si="1"/>
        <v>76</v>
      </c>
      <c r="F12" s="285">
        <f t="shared" si="2"/>
        <v>72</v>
      </c>
      <c r="G12" s="313">
        <f t="shared" si="3"/>
        <v>68</v>
      </c>
      <c r="I12" s="293">
        <v>60</v>
      </c>
      <c r="J12" s="284">
        <v>57</v>
      </c>
      <c r="K12" s="285">
        <v>54</v>
      </c>
      <c r="L12" s="313">
        <v>51</v>
      </c>
      <c r="M12" s="482">
        <f t="shared" si="4"/>
        <v>0.32590000000000002</v>
      </c>
    </row>
    <row r="13" spans="1:14" x14ac:dyDescent="0.25">
      <c r="A13" s="310">
        <v>9</v>
      </c>
      <c r="B13" s="311" t="s">
        <v>384</v>
      </c>
      <c r="C13" s="312" t="s">
        <v>433</v>
      </c>
      <c r="D13" s="293">
        <f t="shared" si="0"/>
        <v>80</v>
      </c>
      <c r="E13" s="284">
        <f t="shared" si="1"/>
        <v>76</v>
      </c>
      <c r="F13" s="285">
        <f t="shared" si="2"/>
        <v>72</v>
      </c>
      <c r="G13" s="313">
        <f t="shared" si="3"/>
        <v>68</v>
      </c>
      <c r="I13" s="293">
        <v>60</v>
      </c>
      <c r="J13" s="284">
        <v>57</v>
      </c>
      <c r="K13" s="285">
        <v>54</v>
      </c>
      <c r="L13" s="313">
        <v>51</v>
      </c>
      <c r="M13" s="482">
        <f t="shared" si="4"/>
        <v>0.32590000000000002</v>
      </c>
    </row>
    <row r="14" spans="1:14" ht="30" x14ac:dyDescent="0.25">
      <c r="A14" s="310">
        <v>10</v>
      </c>
      <c r="B14" s="311" t="s">
        <v>385</v>
      </c>
      <c r="C14" s="312" t="s">
        <v>433</v>
      </c>
      <c r="D14" s="293">
        <f t="shared" si="0"/>
        <v>64</v>
      </c>
      <c r="E14" s="284">
        <f t="shared" si="1"/>
        <v>61</v>
      </c>
      <c r="F14" s="285">
        <f t="shared" si="2"/>
        <v>57</v>
      </c>
      <c r="G14" s="313">
        <f t="shared" si="3"/>
        <v>54</v>
      </c>
      <c r="I14" s="293">
        <v>48</v>
      </c>
      <c r="J14" s="284">
        <v>46</v>
      </c>
      <c r="K14" s="285">
        <v>43</v>
      </c>
      <c r="L14" s="313">
        <v>41</v>
      </c>
      <c r="M14" s="482">
        <f t="shared" si="4"/>
        <v>0.32590000000000002</v>
      </c>
    </row>
    <row r="15" spans="1:14" ht="30" x14ac:dyDescent="0.25">
      <c r="A15" s="310">
        <v>11</v>
      </c>
      <c r="B15" s="311" t="s">
        <v>386</v>
      </c>
      <c r="C15" s="312" t="s">
        <v>433</v>
      </c>
      <c r="D15" s="293">
        <f t="shared" si="0"/>
        <v>64</v>
      </c>
      <c r="E15" s="284">
        <f t="shared" si="1"/>
        <v>61</v>
      </c>
      <c r="F15" s="285">
        <f t="shared" si="2"/>
        <v>57</v>
      </c>
      <c r="G15" s="313">
        <f t="shared" si="3"/>
        <v>54</v>
      </c>
      <c r="I15" s="293">
        <v>48</v>
      </c>
      <c r="J15" s="284">
        <v>46</v>
      </c>
      <c r="K15" s="285">
        <v>43</v>
      </c>
      <c r="L15" s="313">
        <v>41</v>
      </c>
      <c r="M15" s="482">
        <f t="shared" si="4"/>
        <v>0.32590000000000002</v>
      </c>
    </row>
    <row r="16" spans="1:14" x14ac:dyDescent="0.25">
      <c r="A16" s="302">
        <v>12</v>
      </c>
      <c r="B16" s="303" t="s">
        <v>387</v>
      </c>
      <c r="C16" s="304" t="s">
        <v>433</v>
      </c>
      <c r="D16" s="1191">
        <f>MROUND((I16+I16*M16),10)</f>
        <v>270</v>
      </c>
      <c r="E16" s="1192"/>
      <c r="F16" s="1192"/>
      <c r="G16" s="1193"/>
      <c r="I16" s="1191">
        <v>200</v>
      </c>
      <c r="J16" s="1192"/>
      <c r="K16" s="1192"/>
      <c r="L16" s="1193"/>
      <c r="M16" s="482">
        <f t="shared" si="4"/>
        <v>0.32590000000000002</v>
      </c>
    </row>
    <row r="17" spans="1:13" ht="30" x14ac:dyDescent="0.25">
      <c r="A17" s="302">
        <v>13</v>
      </c>
      <c r="B17" s="303" t="s">
        <v>389</v>
      </c>
      <c r="C17" s="304" t="s">
        <v>433</v>
      </c>
      <c r="D17" s="1191">
        <f t="shared" ref="D17:D18" si="5">MROUND((I17+I17*M17),10)</f>
        <v>170</v>
      </c>
      <c r="E17" s="1192"/>
      <c r="F17" s="1192"/>
      <c r="G17" s="1193"/>
      <c r="I17" s="1191">
        <v>130</v>
      </c>
      <c r="J17" s="1192"/>
      <c r="K17" s="1192"/>
      <c r="L17" s="1193"/>
      <c r="M17" s="482">
        <f t="shared" si="4"/>
        <v>0.32590000000000002</v>
      </c>
    </row>
    <row r="18" spans="1:13" ht="30" x14ac:dyDescent="0.25">
      <c r="A18" s="300">
        <v>14</v>
      </c>
      <c r="B18" s="55" t="s">
        <v>388</v>
      </c>
      <c r="C18" s="301" t="s">
        <v>433</v>
      </c>
      <c r="D18" s="1191">
        <f t="shared" si="5"/>
        <v>330</v>
      </c>
      <c r="E18" s="1192"/>
      <c r="F18" s="1192"/>
      <c r="G18" s="1193"/>
      <c r="I18" s="1191">
        <v>250</v>
      </c>
      <c r="J18" s="1192"/>
      <c r="K18" s="1192"/>
      <c r="L18" s="1193"/>
      <c r="M18" s="482">
        <f t="shared" si="4"/>
        <v>0.32590000000000002</v>
      </c>
    </row>
    <row r="19" spans="1:13" ht="30" x14ac:dyDescent="0.25">
      <c r="A19" s="297">
        <v>15</v>
      </c>
      <c r="B19" s="298" t="s">
        <v>391</v>
      </c>
      <c r="C19" s="299" t="s">
        <v>433</v>
      </c>
      <c r="D19" s="293">
        <f>I19+I19*M19</f>
        <v>66.295000000000002</v>
      </c>
      <c r="E19" s="284">
        <f>J19+J19*M19</f>
        <v>63.6432</v>
      </c>
      <c r="F19" s="285">
        <f>K19+K19*M19</f>
        <v>59.665500000000002</v>
      </c>
      <c r="G19" s="313">
        <f>L19+L19*M19</f>
        <v>57.0137</v>
      </c>
      <c r="I19" s="293">
        <v>50</v>
      </c>
      <c r="J19" s="284">
        <v>48</v>
      </c>
      <c r="K19" s="285">
        <v>45</v>
      </c>
      <c r="L19" s="313">
        <v>43</v>
      </c>
      <c r="M19" s="482">
        <f t="shared" si="4"/>
        <v>0.32590000000000002</v>
      </c>
    </row>
    <row r="20" spans="1:13" ht="30" x14ac:dyDescent="0.25">
      <c r="A20" s="300">
        <v>16</v>
      </c>
      <c r="B20" s="55" t="s">
        <v>390</v>
      </c>
      <c r="C20" s="301" t="s">
        <v>433</v>
      </c>
      <c r="D20" s="293">
        <f>I20+I20*M20</f>
        <v>106.072</v>
      </c>
      <c r="E20" s="284">
        <f>J20+J20*M20</f>
        <v>100.7684</v>
      </c>
      <c r="F20" s="285">
        <f>K20+K20*M20</f>
        <v>95.464799999999997</v>
      </c>
      <c r="G20" s="313">
        <f>L20+L20*M20</f>
        <v>90.161200000000008</v>
      </c>
      <c r="I20" s="293">
        <v>80</v>
      </c>
      <c r="J20" s="284">
        <v>76</v>
      </c>
      <c r="K20" s="285">
        <v>72</v>
      </c>
      <c r="L20" s="313">
        <v>68</v>
      </c>
      <c r="M20" s="482">
        <f t="shared" si="4"/>
        <v>0.32590000000000002</v>
      </c>
    </row>
    <row r="21" spans="1:13" ht="75" x14ac:dyDescent="0.25">
      <c r="A21" s="305">
        <v>17</v>
      </c>
      <c r="B21" s="22" t="s">
        <v>392</v>
      </c>
      <c r="C21" s="23"/>
      <c r="D21" s="1188">
        <v>1.35</v>
      </c>
      <c r="E21" s="1189"/>
      <c r="F21" s="1189"/>
      <c r="G21" s="1190"/>
    </row>
    <row r="23" spans="1:13" hidden="1" x14ac:dyDescent="0.25"/>
    <row r="25" spans="1:13" ht="15" x14ac:dyDescent="0.25">
      <c r="A25" s="995" t="s">
        <v>393</v>
      </c>
      <c r="B25" s="995"/>
      <c r="C25" s="995"/>
      <c r="D25" s="995"/>
      <c r="E25" s="995"/>
      <c r="F25" s="995"/>
      <c r="G25" s="995"/>
    </row>
    <row r="26" spans="1:13" ht="15" x14ac:dyDescent="0.25">
      <c r="A26" s="995" t="s">
        <v>394</v>
      </c>
      <c r="B26" s="995"/>
      <c r="C26" s="995"/>
      <c r="D26" s="995"/>
      <c r="E26" s="995"/>
      <c r="F26" s="995"/>
      <c r="G26" s="995"/>
    </row>
    <row r="28" spans="1:13" ht="24.75" customHeight="1" x14ac:dyDescent="0.25">
      <c r="A28" s="1145" t="s">
        <v>668</v>
      </c>
      <c r="B28" s="1145"/>
      <c r="C28" s="1145"/>
      <c r="D28" s="1145"/>
      <c r="E28" s="1145"/>
      <c r="F28" s="1145"/>
      <c r="G28" s="1145"/>
    </row>
  </sheetData>
  <mergeCells count="15">
    <mergeCell ref="I16:L16"/>
    <mergeCell ref="I17:L17"/>
    <mergeCell ref="I18:L18"/>
    <mergeCell ref="A2:G2"/>
    <mergeCell ref="D3:G3"/>
    <mergeCell ref="B3:B4"/>
    <mergeCell ref="C3:C4"/>
    <mergeCell ref="A3:A4"/>
    <mergeCell ref="A28:G28"/>
    <mergeCell ref="D21:G21"/>
    <mergeCell ref="A26:G26"/>
    <mergeCell ref="D16:G16"/>
    <mergeCell ref="D17:G17"/>
    <mergeCell ref="D18:G18"/>
    <mergeCell ref="A25:G25"/>
  </mergeCells>
  <phoneticPr fontId="17" alignment="center"/>
  <hyperlinks>
    <hyperlink ref="H2" location="СОДЕРЖАНИЕ!A1" display="назад к содержанию" xr:uid="{00000000-0004-0000-1C00-000000000000}"/>
    <hyperlink ref="N2" location="Спасибо!A3" display="Спасибо!" xr:uid="{A1DE06D0-34FF-6E47-9995-1521B6896210}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40"/>
  <sheetViews>
    <sheetView workbookViewId="0">
      <selection activeCell="O32" sqref="O32"/>
    </sheetView>
  </sheetViews>
  <sheetFormatPr defaultColWidth="8.5703125" defaultRowHeight="15.75" x14ac:dyDescent="0.25"/>
  <cols>
    <col min="1" max="1" width="17.42578125" style="316" customWidth="1"/>
    <col min="2" max="4" width="13.7109375" style="316" customWidth="1"/>
    <col min="5" max="5" width="16.42578125" style="316" customWidth="1"/>
    <col min="6" max="6" width="12.7109375" style="15" customWidth="1"/>
    <col min="7" max="7" width="11.42578125" style="314" hidden="1" customWidth="1"/>
    <col min="8" max="8" width="8.5703125" hidden="1" customWidth="1"/>
    <col min="9" max="9" width="47.5703125" hidden="1" customWidth="1"/>
    <col min="10" max="10" width="8.7109375" style="315" hidden="1" customWidth="1"/>
    <col min="11" max="11" width="8.7109375" style="482" hidden="1" customWidth="1"/>
    <col min="12" max="13" width="8.7109375" style="315" hidden="1" customWidth="1"/>
    <col min="14" max="16" width="8.5703125" bestFit="1" customWidth="1"/>
  </cols>
  <sheetData>
    <row r="1" spans="1:16" ht="16.5" thickBot="1" x14ac:dyDescent="0.3">
      <c r="A1" s="1195" t="str">
        <f>'3.6 Клининг'!B1</f>
        <v>Актуально на 01 апреля 2022</v>
      </c>
      <c r="B1" s="1196"/>
    </row>
    <row r="2" spans="1:16" ht="30.75" thickBot="1" x14ac:dyDescent="0.4">
      <c r="A2" s="1100" t="s">
        <v>395</v>
      </c>
      <c r="B2" s="1101"/>
      <c r="C2" s="1100"/>
      <c r="D2" s="1100"/>
      <c r="E2" s="1100"/>
      <c r="F2" s="292" t="s">
        <v>302</v>
      </c>
      <c r="G2" s="18"/>
      <c r="N2" s="579" t="s">
        <v>622</v>
      </c>
    </row>
    <row r="3" spans="1:16" ht="41.25" customHeight="1" x14ac:dyDescent="0.25">
      <c r="A3" s="1227" t="s">
        <v>396</v>
      </c>
      <c r="B3" s="1226" t="s">
        <v>401</v>
      </c>
      <c r="C3" s="1226"/>
      <c r="D3" s="1226"/>
      <c r="E3" s="1226"/>
      <c r="F3" s="317"/>
      <c r="G3" s="318"/>
      <c r="H3" s="71"/>
      <c r="I3" s="71"/>
      <c r="J3" s="319"/>
      <c r="K3" s="507"/>
      <c r="L3" s="319"/>
      <c r="M3" s="319"/>
      <c r="N3" s="18"/>
      <c r="O3" s="71"/>
      <c r="P3" s="71"/>
    </row>
    <row r="4" spans="1:16" ht="75" x14ac:dyDescent="0.25">
      <c r="A4" s="1228"/>
      <c r="B4" s="329" t="s">
        <v>397</v>
      </c>
      <c r="C4" s="330" t="s">
        <v>398</v>
      </c>
      <c r="D4" s="191" t="s">
        <v>399</v>
      </c>
      <c r="E4" s="84" t="s">
        <v>400</v>
      </c>
      <c r="F4" s="317"/>
      <c r="G4" s="318"/>
      <c r="H4" s="71"/>
      <c r="I4" s="320"/>
      <c r="J4" s="320"/>
      <c r="K4" s="507"/>
      <c r="L4" s="320"/>
      <c r="M4" s="320"/>
      <c r="N4" s="71"/>
      <c r="O4" s="71"/>
      <c r="P4" s="71"/>
    </row>
    <row r="5" spans="1:16" x14ac:dyDescent="0.25">
      <c r="A5" s="68">
        <v>15</v>
      </c>
      <c r="B5" s="325">
        <f>A5*115+A5*115*K5</f>
        <v>2287.1774999999998</v>
      </c>
      <c r="C5" s="325">
        <f>B5*1.41</f>
        <v>3224.9202749999995</v>
      </c>
      <c r="D5" s="325">
        <f>B5*1.71</f>
        <v>3911.0735249999993</v>
      </c>
      <c r="E5" s="325">
        <f>B5*2.33</f>
        <v>5329.1235749999996</v>
      </c>
      <c r="F5" s="317"/>
      <c r="G5" s="318">
        <v>1</v>
      </c>
      <c r="H5" s="71"/>
      <c r="I5" s="333" t="s">
        <v>408</v>
      </c>
      <c r="J5" s="320"/>
      <c r="K5" s="507">
        <f>инфляция!A2</f>
        <v>0.32590000000000002</v>
      </c>
      <c r="L5" s="320"/>
      <c r="M5" s="320"/>
      <c r="N5" s="71"/>
      <c r="O5" s="71"/>
      <c r="P5" s="71"/>
    </row>
    <row r="6" spans="1:16" x14ac:dyDescent="0.25">
      <c r="A6" s="68">
        <v>20</v>
      </c>
      <c r="B6" s="325">
        <f t="shared" ref="B6:B10" si="0">A6*115+A6*115*K6</f>
        <v>3049.57</v>
      </c>
      <c r="C6" s="325">
        <f t="shared" ref="C6:C22" si="1">B6*1.41</f>
        <v>4299.8936999999996</v>
      </c>
      <c r="D6" s="325">
        <f t="shared" ref="D6:D22" si="2">B6*1.71</f>
        <v>5214.7646999999997</v>
      </c>
      <c r="E6" s="325">
        <f t="shared" ref="E6:E22" si="3">B6*2.33</f>
        <v>7105.4981000000007</v>
      </c>
      <c r="F6" s="317"/>
      <c r="G6" s="318">
        <v>1</v>
      </c>
      <c r="H6" s="71"/>
      <c r="I6" s="333" t="s">
        <v>409</v>
      </c>
      <c r="J6" s="320"/>
      <c r="K6" s="507">
        <f>K5</f>
        <v>0.32590000000000002</v>
      </c>
      <c r="L6" s="320"/>
      <c r="M6" s="320"/>
      <c r="N6" s="71"/>
      <c r="O6" s="71"/>
      <c r="P6" s="71"/>
    </row>
    <row r="7" spans="1:16" x14ac:dyDescent="0.25">
      <c r="A7" s="68">
        <v>25</v>
      </c>
      <c r="B7" s="325">
        <f t="shared" si="0"/>
        <v>3811.9625000000001</v>
      </c>
      <c r="C7" s="325">
        <f t="shared" si="1"/>
        <v>5374.8671249999998</v>
      </c>
      <c r="D7" s="325">
        <f t="shared" si="2"/>
        <v>6518.4558749999997</v>
      </c>
      <c r="E7" s="325">
        <f t="shared" si="3"/>
        <v>8881.872625</v>
      </c>
      <c r="F7" s="317"/>
      <c r="G7" s="318">
        <v>1</v>
      </c>
      <c r="H7" s="71"/>
      <c r="I7" s="333" t="s">
        <v>410</v>
      </c>
      <c r="J7" s="320"/>
      <c r="K7" s="507">
        <f t="shared" ref="K7:K32" si="4">K6</f>
        <v>0.32590000000000002</v>
      </c>
      <c r="L7" s="320"/>
      <c r="M7" s="320"/>
      <c r="N7" s="71"/>
      <c r="O7" s="71"/>
      <c r="P7" s="71"/>
    </row>
    <row r="8" spans="1:16" x14ac:dyDescent="0.25">
      <c r="A8" s="68">
        <v>30</v>
      </c>
      <c r="B8" s="325">
        <f t="shared" si="0"/>
        <v>4574.3549999999996</v>
      </c>
      <c r="C8" s="325">
        <f t="shared" si="1"/>
        <v>6449.840549999999</v>
      </c>
      <c r="D8" s="325">
        <f t="shared" si="2"/>
        <v>7822.1470499999987</v>
      </c>
      <c r="E8" s="325">
        <f t="shared" si="3"/>
        <v>10658.247149999999</v>
      </c>
      <c r="F8" s="317"/>
      <c r="G8" s="318">
        <v>1</v>
      </c>
      <c r="H8" s="71"/>
      <c r="I8" s="333" t="s">
        <v>411</v>
      </c>
      <c r="J8" s="320"/>
      <c r="K8" s="507">
        <f t="shared" si="4"/>
        <v>0.32590000000000002</v>
      </c>
      <c r="L8" s="320"/>
      <c r="M8" s="320"/>
      <c r="N8" s="71"/>
      <c r="O8" s="71"/>
      <c r="P8" s="71"/>
    </row>
    <row r="9" spans="1:16" x14ac:dyDescent="0.25">
      <c r="A9" s="68">
        <v>35</v>
      </c>
      <c r="B9" s="325">
        <f t="shared" si="0"/>
        <v>5336.7475000000004</v>
      </c>
      <c r="C9" s="325">
        <f t="shared" si="1"/>
        <v>7524.813975</v>
      </c>
      <c r="D9" s="325">
        <f t="shared" si="2"/>
        <v>9125.8382250000013</v>
      </c>
      <c r="E9" s="325">
        <f t="shared" si="3"/>
        <v>12434.621675000002</v>
      </c>
      <c r="F9" s="317"/>
      <c r="G9" s="318">
        <v>1</v>
      </c>
      <c r="H9" s="71"/>
      <c r="I9" s="320"/>
      <c r="J9" s="320"/>
      <c r="K9" s="507">
        <f t="shared" si="4"/>
        <v>0.32590000000000002</v>
      </c>
      <c r="L9" s="320"/>
      <c r="M9" s="320"/>
      <c r="N9" s="71"/>
      <c r="O9" s="71"/>
      <c r="P9" s="71"/>
    </row>
    <row r="10" spans="1:16" x14ac:dyDescent="0.25">
      <c r="A10" s="68">
        <v>40</v>
      </c>
      <c r="B10" s="325">
        <f t="shared" si="0"/>
        <v>6099.14</v>
      </c>
      <c r="C10" s="325">
        <f t="shared" si="1"/>
        <v>8599.7873999999993</v>
      </c>
      <c r="D10" s="325">
        <f t="shared" si="2"/>
        <v>10429.529399999999</v>
      </c>
      <c r="E10" s="325">
        <f t="shared" si="3"/>
        <v>14210.996200000001</v>
      </c>
      <c r="F10" s="317"/>
      <c r="G10" s="318">
        <v>1</v>
      </c>
      <c r="H10" s="71"/>
      <c r="I10" s="71"/>
      <c r="J10" s="320"/>
      <c r="K10" s="507">
        <f t="shared" si="4"/>
        <v>0.32590000000000002</v>
      </c>
      <c r="L10" s="320"/>
      <c r="M10" s="320"/>
      <c r="N10" s="71"/>
      <c r="O10" s="71"/>
      <c r="P10" s="71"/>
    </row>
    <row r="11" spans="1:16" x14ac:dyDescent="0.25">
      <c r="A11" s="68">
        <v>45</v>
      </c>
      <c r="B11" s="325">
        <f>A11*128+A11*128*K11</f>
        <v>7637.1840000000002</v>
      </c>
      <c r="C11" s="325">
        <f t="shared" si="1"/>
        <v>10768.42944</v>
      </c>
      <c r="D11" s="325">
        <f t="shared" si="2"/>
        <v>13059.584640000001</v>
      </c>
      <c r="E11" s="325">
        <f t="shared" si="3"/>
        <v>17794.638720000003</v>
      </c>
      <c r="F11" s="317"/>
      <c r="G11" s="318">
        <v>1.28</v>
      </c>
      <c r="H11" s="71"/>
      <c r="I11" s="320"/>
      <c r="J11" s="320"/>
      <c r="K11" s="507">
        <f t="shared" si="4"/>
        <v>0.32590000000000002</v>
      </c>
      <c r="L11" s="320"/>
      <c r="M11" s="320"/>
      <c r="N11" s="71"/>
      <c r="O11" s="71"/>
      <c r="P11" s="71"/>
    </row>
    <row r="12" spans="1:16" x14ac:dyDescent="0.25">
      <c r="A12" s="68">
        <v>50</v>
      </c>
      <c r="B12" s="325">
        <f>A12*139+A12*139*K12</f>
        <v>9215.005000000001</v>
      </c>
      <c r="C12" s="325">
        <f t="shared" si="1"/>
        <v>12993.15705</v>
      </c>
      <c r="D12" s="325">
        <f t="shared" si="2"/>
        <v>15757.658550000002</v>
      </c>
      <c r="E12" s="325">
        <f t="shared" si="3"/>
        <v>21470.961650000005</v>
      </c>
      <c r="F12" s="317"/>
      <c r="G12" s="318">
        <v>1.39</v>
      </c>
      <c r="H12" s="71"/>
      <c r="I12" s="320"/>
      <c r="J12" s="320"/>
      <c r="K12" s="507">
        <f t="shared" si="4"/>
        <v>0.32590000000000002</v>
      </c>
      <c r="L12" s="320"/>
      <c r="M12" s="320"/>
      <c r="N12" s="71"/>
      <c r="O12" s="71"/>
      <c r="P12" s="71"/>
    </row>
    <row r="13" spans="1:16" x14ac:dyDescent="0.25">
      <c r="A13" s="68">
        <v>55</v>
      </c>
      <c r="B13" s="325">
        <f>A13*152+A13*152*K13</f>
        <v>11084.524000000001</v>
      </c>
      <c r="C13" s="325">
        <f t="shared" si="1"/>
        <v>15629.17884</v>
      </c>
      <c r="D13" s="325">
        <f t="shared" si="2"/>
        <v>18954.536040000003</v>
      </c>
      <c r="E13" s="325">
        <f t="shared" si="3"/>
        <v>25826.940920000005</v>
      </c>
      <c r="F13" s="317"/>
      <c r="G13" s="318">
        <v>1.52</v>
      </c>
      <c r="H13" s="71"/>
      <c r="I13" s="320"/>
      <c r="J13" s="320"/>
      <c r="K13" s="507">
        <f t="shared" si="4"/>
        <v>0.32590000000000002</v>
      </c>
      <c r="L13" s="320"/>
      <c r="M13" s="320"/>
      <c r="N13" s="71"/>
      <c r="O13" s="71"/>
      <c r="P13" s="71"/>
    </row>
    <row r="14" spans="1:16" x14ac:dyDescent="0.25">
      <c r="A14" s="68">
        <v>60</v>
      </c>
      <c r="B14" s="325">
        <f>(A14*164+A15*164*K14)</f>
        <v>13314.094000000001</v>
      </c>
      <c r="C14" s="325">
        <f t="shared" si="1"/>
        <v>18772.87254</v>
      </c>
      <c r="D14" s="325">
        <f t="shared" si="2"/>
        <v>22767.100740000002</v>
      </c>
      <c r="E14" s="325">
        <f t="shared" si="3"/>
        <v>31021.839020000003</v>
      </c>
      <c r="F14" s="317"/>
      <c r="G14" s="318">
        <v>1.64</v>
      </c>
      <c r="H14" s="71"/>
      <c r="I14" s="320"/>
      <c r="J14" s="320"/>
      <c r="K14" s="507">
        <f t="shared" si="4"/>
        <v>0.32590000000000002</v>
      </c>
      <c r="L14" s="320"/>
      <c r="M14" s="320"/>
      <c r="N14" s="71"/>
      <c r="O14" s="71"/>
      <c r="P14" s="71"/>
    </row>
    <row r="15" spans="1:16" x14ac:dyDescent="0.25">
      <c r="A15" s="68">
        <v>65</v>
      </c>
      <c r="B15" s="325">
        <f>(A15*177+A15*177*K15)</f>
        <v>15254.479500000001</v>
      </c>
      <c r="C15" s="325">
        <f t="shared" si="1"/>
        <v>21508.816095000002</v>
      </c>
      <c r="D15" s="325">
        <f t="shared" si="2"/>
        <v>26085.159945000003</v>
      </c>
      <c r="E15" s="325">
        <f t="shared" si="3"/>
        <v>35542.937235000005</v>
      </c>
      <c r="F15" s="317"/>
      <c r="G15" s="318">
        <v>1.77</v>
      </c>
      <c r="H15" s="71"/>
      <c r="I15" s="320"/>
      <c r="J15" s="320"/>
      <c r="K15" s="507">
        <f t="shared" si="4"/>
        <v>0.32590000000000002</v>
      </c>
      <c r="L15" s="320"/>
      <c r="M15" s="320"/>
      <c r="N15" s="71"/>
      <c r="O15" s="71"/>
      <c r="P15" s="71"/>
    </row>
    <row r="16" spans="1:16" x14ac:dyDescent="0.25">
      <c r="A16" s="68">
        <v>70</v>
      </c>
      <c r="B16" s="325">
        <f>(A16*189+A16*189*K16)</f>
        <v>17541.656999999999</v>
      </c>
      <c r="C16" s="325">
        <f t="shared" si="1"/>
        <v>24733.736369999999</v>
      </c>
      <c r="D16" s="325">
        <f t="shared" si="2"/>
        <v>29996.233469999999</v>
      </c>
      <c r="E16" s="325">
        <f t="shared" si="3"/>
        <v>40872.060810000003</v>
      </c>
      <c r="F16" s="317"/>
      <c r="G16" s="318">
        <v>1.89</v>
      </c>
      <c r="H16" s="71"/>
      <c r="I16" s="320"/>
      <c r="J16" s="320"/>
      <c r="K16" s="507">
        <f t="shared" si="4"/>
        <v>0.32590000000000002</v>
      </c>
      <c r="L16" s="320"/>
      <c r="M16" s="320"/>
      <c r="N16" s="71"/>
      <c r="O16" s="71"/>
      <c r="P16" s="71"/>
    </row>
    <row r="17" spans="1:16" x14ac:dyDescent="0.25">
      <c r="A17" s="68">
        <v>75</v>
      </c>
      <c r="B17" s="325">
        <f>(A17*201+A17*201*K17)</f>
        <v>19987.942500000001</v>
      </c>
      <c r="C17" s="325">
        <f t="shared" si="1"/>
        <v>28182.998925</v>
      </c>
      <c r="D17" s="325">
        <f t="shared" si="2"/>
        <v>34179.381675000004</v>
      </c>
      <c r="E17" s="325">
        <f t="shared" si="3"/>
        <v>46571.906025000004</v>
      </c>
      <c r="F17" s="317"/>
      <c r="G17" s="318">
        <v>2.0099999999999998</v>
      </c>
      <c r="H17" s="71"/>
      <c r="I17" s="320"/>
      <c r="J17" s="320"/>
      <c r="K17" s="507">
        <f t="shared" si="4"/>
        <v>0.32590000000000002</v>
      </c>
      <c r="L17" s="320"/>
      <c r="M17" s="320"/>
      <c r="N17" s="71"/>
      <c r="O17" s="71"/>
      <c r="P17" s="71"/>
    </row>
    <row r="18" spans="1:16" x14ac:dyDescent="0.25">
      <c r="A18" s="68">
        <v>80</v>
      </c>
      <c r="B18" s="325">
        <f>(A18*214+A18*214*K18)</f>
        <v>22699.407999999999</v>
      </c>
      <c r="C18" s="325">
        <f t="shared" si="1"/>
        <v>32006.165279999997</v>
      </c>
      <c r="D18" s="325">
        <f t="shared" si="2"/>
        <v>38815.987679999998</v>
      </c>
      <c r="E18" s="325">
        <f t="shared" si="3"/>
        <v>52889.620640000001</v>
      </c>
      <c r="F18" s="317"/>
      <c r="G18" s="318">
        <v>2.14</v>
      </c>
      <c r="H18" s="71"/>
      <c r="I18" s="320"/>
      <c r="J18" s="320"/>
      <c r="K18" s="507">
        <f t="shared" si="4"/>
        <v>0.32590000000000002</v>
      </c>
      <c r="L18" s="320"/>
      <c r="M18" s="320"/>
      <c r="N18" s="71"/>
      <c r="O18" s="71"/>
      <c r="P18" s="71"/>
    </row>
    <row r="19" spans="1:16" x14ac:dyDescent="0.25">
      <c r="A19" s="68">
        <v>85</v>
      </c>
      <c r="B19" s="325">
        <f>(A19*227+A19*227*K19)</f>
        <v>25583.2405</v>
      </c>
      <c r="C19" s="325">
        <f t="shared" si="1"/>
        <v>36072.369104999998</v>
      </c>
      <c r="D19" s="325">
        <f t="shared" si="2"/>
        <v>43747.341254999999</v>
      </c>
      <c r="E19" s="325">
        <f t="shared" si="3"/>
        <v>59608.950365000004</v>
      </c>
      <c r="F19" s="317"/>
      <c r="G19" s="318">
        <v>2.27</v>
      </c>
      <c r="H19" s="71"/>
      <c r="I19" s="320"/>
      <c r="J19" s="320"/>
      <c r="K19" s="507">
        <f t="shared" si="4"/>
        <v>0.32590000000000002</v>
      </c>
      <c r="L19" s="320"/>
      <c r="M19" s="320"/>
      <c r="N19" s="71"/>
      <c r="O19" s="71"/>
      <c r="P19" s="71"/>
    </row>
    <row r="20" spans="1:16" x14ac:dyDescent="0.25">
      <c r="A20" s="68">
        <v>90</v>
      </c>
      <c r="B20" s="325">
        <f>(A20*239+A20*239*K20)</f>
        <v>28520.109</v>
      </c>
      <c r="C20" s="325">
        <f t="shared" si="1"/>
        <v>40213.353689999996</v>
      </c>
      <c r="D20" s="325">
        <f t="shared" si="2"/>
        <v>48769.38639</v>
      </c>
      <c r="E20" s="325">
        <f t="shared" si="3"/>
        <v>66451.853969999996</v>
      </c>
      <c r="F20" s="317"/>
      <c r="G20" s="318">
        <v>2.39</v>
      </c>
      <c r="H20" s="71"/>
      <c r="I20" s="320"/>
      <c r="J20" s="320"/>
      <c r="K20" s="507">
        <f t="shared" si="4"/>
        <v>0.32590000000000002</v>
      </c>
      <c r="L20" s="320"/>
      <c r="M20" s="320"/>
      <c r="N20" s="71"/>
      <c r="O20" s="71"/>
      <c r="P20" s="71"/>
    </row>
    <row r="21" spans="1:16" s="323" customFormat="1" x14ac:dyDescent="0.25">
      <c r="A21" s="326">
        <v>95</v>
      </c>
      <c r="B21" s="327">
        <f>(A21*251+A21*251*K21)</f>
        <v>31616.085500000001</v>
      </c>
      <c r="C21" s="325">
        <f t="shared" si="1"/>
        <v>44578.680554999999</v>
      </c>
      <c r="D21" s="325">
        <f t="shared" si="2"/>
        <v>54063.506204999998</v>
      </c>
      <c r="E21" s="325">
        <f t="shared" si="3"/>
        <v>73665.479214999999</v>
      </c>
      <c r="F21" s="321"/>
      <c r="G21" s="322">
        <v>2.5099999999999998</v>
      </c>
      <c r="I21" s="324"/>
      <c r="J21" s="324"/>
      <c r="K21" s="507">
        <f t="shared" si="4"/>
        <v>0.32590000000000002</v>
      </c>
      <c r="L21" s="324"/>
      <c r="M21" s="324"/>
    </row>
    <row r="22" spans="1:16" x14ac:dyDescent="0.25">
      <c r="A22" s="328">
        <v>100</v>
      </c>
      <c r="B22" s="325">
        <f>(A22*251+A22*251*K22)</f>
        <v>33280.089999999997</v>
      </c>
      <c r="C22" s="325">
        <f t="shared" si="1"/>
        <v>46924.926899999991</v>
      </c>
      <c r="D22" s="325">
        <f t="shared" si="2"/>
        <v>56908.953899999993</v>
      </c>
      <c r="E22" s="325">
        <f t="shared" si="3"/>
        <v>77542.609700000001</v>
      </c>
      <c r="F22" s="317"/>
      <c r="G22" s="318">
        <v>2.5099999999999998</v>
      </c>
      <c r="H22" s="71"/>
      <c r="I22" s="320"/>
      <c r="J22" s="320"/>
      <c r="K22" s="507">
        <f t="shared" si="4"/>
        <v>0.32590000000000002</v>
      </c>
      <c r="L22" s="320"/>
      <c r="M22" s="320"/>
      <c r="N22" s="71"/>
      <c r="O22" s="71"/>
      <c r="P22" s="71"/>
    </row>
    <row r="23" spans="1:16" ht="16.5" thickBot="1" x14ac:dyDescent="0.3">
      <c r="A23" s="331"/>
      <c r="B23" s="332"/>
      <c r="C23" s="332"/>
      <c r="D23" s="332"/>
      <c r="E23" s="332"/>
      <c r="F23" s="317"/>
      <c r="G23" s="318"/>
      <c r="H23" s="71"/>
      <c r="I23" s="320"/>
      <c r="J23" s="320"/>
      <c r="K23" s="507">
        <f t="shared" si="4"/>
        <v>0.32590000000000002</v>
      </c>
      <c r="L23" s="320"/>
      <c r="M23" s="320"/>
      <c r="N23" s="71"/>
      <c r="O23" s="71"/>
      <c r="P23" s="71"/>
    </row>
    <row r="24" spans="1:16" s="374" customFormat="1" ht="17.25" thickTop="1" thickBot="1" x14ac:dyDescent="0.3">
      <c r="A24" s="1208" t="s">
        <v>404</v>
      </c>
      <c r="B24" s="1209"/>
      <c r="C24" s="1210"/>
      <c r="D24" s="1211">
        <f>MROUND((L24+L24*K24),100)</f>
        <v>6600</v>
      </c>
      <c r="E24" s="1212"/>
      <c r="F24" s="475"/>
      <c r="G24" s="477"/>
      <c r="H24" s="475"/>
      <c r="I24" s="476"/>
      <c r="J24" s="476"/>
      <c r="K24" s="507">
        <f t="shared" si="4"/>
        <v>0.32590000000000002</v>
      </c>
      <c r="L24" s="1217">
        <v>5000</v>
      </c>
      <c r="M24" s="1218"/>
      <c r="N24" s="475"/>
      <c r="O24" s="475"/>
      <c r="P24" s="475"/>
    </row>
    <row r="25" spans="1:16" ht="16.5" thickTop="1" x14ac:dyDescent="0.25">
      <c r="F25" s="317"/>
      <c r="G25" s="318"/>
      <c r="H25" s="71"/>
      <c r="I25" s="71"/>
      <c r="J25" s="320"/>
      <c r="K25" s="507">
        <f>K24</f>
        <v>0.32590000000000002</v>
      </c>
      <c r="L25" s="320"/>
      <c r="M25" s="320"/>
      <c r="N25" s="71"/>
      <c r="O25" s="71"/>
      <c r="P25" s="71"/>
    </row>
    <row r="26" spans="1:16" ht="23.25" customHeight="1" x14ac:dyDescent="0.25">
      <c r="A26" s="1145" t="s">
        <v>668</v>
      </c>
      <c r="B26" s="1145"/>
      <c r="C26" s="1145"/>
      <c r="D26" s="1145"/>
      <c r="E26" s="1145"/>
      <c r="F26" s="317"/>
      <c r="G26" s="318"/>
      <c r="H26" s="71"/>
      <c r="I26" s="71"/>
      <c r="J26" s="320"/>
      <c r="K26" s="507"/>
      <c r="L26" s="320"/>
      <c r="M26" s="320"/>
      <c r="N26" s="71"/>
      <c r="O26" s="71"/>
      <c r="P26" s="71"/>
    </row>
    <row r="27" spans="1:16" x14ac:dyDescent="0.25">
      <c r="F27" s="317"/>
      <c r="G27" s="318"/>
      <c r="H27" s="71"/>
      <c r="I27" s="71"/>
      <c r="J27" s="320"/>
      <c r="K27" s="507"/>
      <c r="L27" s="320"/>
      <c r="M27" s="320"/>
      <c r="N27" s="71"/>
      <c r="O27" s="71"/>
      <c r="P27" s="71"/>
    </row>
    <row r="28" spans="1:16" ht="23.25" x14ac:dyDescent="0.25">
      <c r="A28" s="1216" t="s">
        <v>506</v>
      </c>
      <c r="B28" s="1216"/>
      <c r="C28" s="1216"/>
      <c r="D28" s="1216"/>
      <c r="E28" s="1216"/>
      <c r="F28" s="317"/>
      <c r="G28" s="318"/>
      <c r="H28" s="71"/>
      <c r="I28" s="71"/>
      <c r="J28" s="320"/>
      <c r="K28" s="507"/>
      <c r="L28" s="320"/>
      <c r="M28" s="320"/>
      <c r="N28" s="71"/>
      <c r="O28" s="71"/>
      <c r="P28" s="71"/>
    </row>
    <row r="29" spans="1:16" ht="31.5" customHeight="1" x14ac:dyDescent="0.25">
      <c r="A29" s="1197" t="s">
        <v>402</v>
      </c>
      <c r="B29" s="1197"/>
      <c r="C29" s="1197"/>
      <c r="D29" s="1197"/>
      <c r="E29" s="1197"/>
      <c r="F29" s="317"/>
      <c r="G29" s="318"/>
      <c r="H29" s="71"/>
      <c r="I29" s="71"/>
      <c r="J29" s="320"/>
      <c r="K29" s="507">
        <f>K25</f>
        <v>0.32590000000000002</v>
      </c>
      <c r="L29" s="320"/>
      <c r="M29" s="320"/>
      <c r="N29" s="71"/>
      <c r="O29" s="71"/>
      <c r="P29" s="71"/>
    </row>
    <row r="30" spans="1:16" ht="41.25" customHeight="1" x14ac:dyDescent="0.25">
      <c r="A30" s="1204" t="s">
        <v>407</v>
      </c>
      <c r="B30" s="1204"/>
      <c r="C30" s="1206">
        <v>156</v>
      </c>
      <c r="D30" s="1206"/>
      <c r="E30" s="1206"/>
      <c r="F30" s="317"/>
      <c r="G30" s="318"/>
      <c r="H30" s="71"/>
      <c r="I30" s="71"/>
      <c r="J30" s="320"/>
      <c r="K30" s="507">
        <f t="shared" si="4"/>
        <v>0.32590000000000002</v>
      </c>
      <c r="L30" s="320"/>
      <c r="M30" s="320"/>
      <c r="N30" s="71"/>
      <c r="O30" s="71"/>
      <c r="P30" s="71"/>
    </row>
    <row r="31" spans="1:16" ht="27.75" customHeight="1" x14ac:dyDescent="0.25">
      <c r="A31" s="1205" t="s">
        <v>403</v>
      </c>
      <c r="B31" s="1205"/>
      <c r="C31" s="1207">
        <f>MROUND(C30/3.14,5)</f>
        <v>50</v>
      </c>
      <c r="D31" s="1207"/>
      <c r="E31" s="1207"/>
      <c r="K31" s="507">
        <f t="shared" si="4"/>
        <v>0.32590000000000002</v>
      </c>
    </row>
    <row r="32" spans="1:16" s="71" customFormat="1" ht="27.75" customHeight="1" x14ac:dyDescent="0.25">
      <c r="A32" s="334"/>
      <c r="B32" s="334"/>
      <c r="C32" s="335"/>
      <c r="D32" s="335"/>
      <c r="E32" s="335"/>
      <c r="F32" s="317"/>
      <c r="G32" s="318"/>
      <c r="J32" s="320"/>
      <c r="K32" s="507">
        <f t="shared" si="4"/>
        <v>0.32590000000000002</v>
      </c>
      <c r="L32" s="320"/>
      <c r="M32" s="320"/>
    </row>
    <row r="33" spans="1:13" s="71" customFormat="1" ht="27.75" customHeight="1" x14ac:dyDescent="0.25">
      <c r="A33" s="1219" t="s">
        <v>506</v>
      </c>
      <c r="B33" s="1219"/>
      <c r="C33" s="1219"/>
      <c r="D33" s="1219"/>
      <c r="E33" s="1219"/>
      <c r="F33" s="317"/>
      <c r="G33" s="318"/>
      <c r="J33" s="320"/>
      <c r="K33" s="507"/>
      <c r="L33" s="320"/>
      <c r="M33" s="320"/>
    </row>
    <row r="34" spans="1:13" x14ac:dyDescent="0.25">
      <c r="A34" s="1213" t="s">
        <v>412</v>
      </c>
      <c r="B34" s="1214"/>
      <c r="C34" s="1214"/>
      <c r="D34" s="1214"/>
      <c r="E34" s="1215"/>
      <c r="K34" s="507">
        <f>K32</f>
        <v>0.32590000000000002</v>
      </c>
    </row>
    <row r="35" spans="1:13" ht="29.25" customHeight="1" thickBot="1" x14ac:dyDescent="0.3">
      <c r="A35" s="336" t="s">
        <v>405</v>
      </c>
      <c r="B35" s="1200" t="s">
        <v>406</v>
      </c>
      <c r="C35" s="1201"/>
      <c r="D35" s="1199" t="s">
        <v>4</v>
      </c>
      <c r="E35" s="1199"/>
    </row>
    <row r="36" spans="1:13" ht="22.5" thickTop="1" thickBot="1" x14ac:dyDescent="0.3">
      <c r="A36" s="465">
        <v>50</v>
      </c>
      <c r="B36" s="1202" t="s">
        <v>409</v>
      </c>
      <c r="C36" s="1203"/>
      <c r="D36" s="1198">
        <f>MROUND((A37*B37*C37),100)</f>
        <v>13000</v>
      </c>
      <c r="E36" s="1198"/>
    </row>
    <row r="37" spans="1:13" ht="16.5" hidden="1" thickTop="1" x14ac:dyDescent="0.25">
      <c r="A37" s="316">
        <f>IF(A36=15,(115+115*D37),IF(A36=20,(115+115*D37),IF(A36=25,(115+115*D37),IF(A36=30,(115+115*D37),IF(A36=35,(115+115*D37),IF(A36=40,(115+115*D37),IF(A36=45,(128+128*D37),IF(A36=50,(139+139*D37),IF(A36=55,(152+152*D37),IF(A36=60,(164+164*D37),IF(A36=65,(177+177*D37),IF(A36=70,(189+189*D37),IF(A36=75,(201+201*D37),IF(A36=80,(214+214*D37),IF(A36=85,(227+227*D37),IF(A36=90,(239+239*D37),IF(A36=95,(251+251*D37),IF(A36=100,(251+251*D37),IF(A36=110,(253+253*D37),IF(A36=120,(255+255*D37),IF(A36=130,(257+257*D37),IF(A36=140,(259+259*D37),IF(A36=150,(260+260*D37),IF(A36=160,(261+261*D37),IF(A36=170,(262+262*D37),IF(A36=180,(263+263*D37),IF(A36=190,(264+264*D37),IF(A36=200,(265+265*D37),""))))))))))))))))))))))))))))</f>
        <v>184.30009999999999</v>
      </c>
      <c r="B37" s="316">
        <f>A36</f>
        <v>50</v>
      </c>
      <c r="C37" s="316">
        <f>IF(B36="без подвязки частей",1,IF(B36="частичная подвязка",1.41,IF(B36="полная подвязка",1.71,IF(B36="полная подвязка с оттяжками",2.33,""))))</f>
        <v>1.41</v>
      </c>
      <c r="D37" s="508">
        <f>K34</f>
        <v>0.32590000000000002</v>
      </c>
    </row>
    <row r="38" spans="1:13" ht="16.5" thickTop="1" x14ac:dyDescent="0.25"/>
    <row r="39" spans="1:13" ht="33" customHeight="1" x14ac:dyDescent="0.25">
      <c r="A39" s="1223" t="s">
        <v>413</v>
      </c>
      <c r="B39" s="1224"/>
      <c r="C39" s="1224"/>
      <c r="D39" s="1224"/>
      <c r="E39" s="1225"/>
    </row>
    <row r="40" spans="1:13" x14ac:dyDescent="0.25">
      <c r="A40" s="1220" t="s">
        <v>414</v>
      </c>
      <c r="B40" s="1221"/>
      <c r="C40" s="1221"/>
      <c r="D40" s="1221"/>
      <c r="E40" s="1222"/>
    </row>
  </sheetData>
  <mergeCells count="22">
    <mergeCell ref="L24:M24"/>
    <mergeCell ref="A33:E33"/>
    <mergeCell ref="A40:E40"/>
    <mergeCell ref="A39:E39"/>
    <mergeCell ref="B3:E3"/>
    <mergeCell ref="A3:A4"/>
    <mergeCell ref="A1:B1"/>
    <mergeCell ref="A2:E2"/>
    <mergeCell ref="A29:E29"/>
    <mergeCell ref="D36:E36"/>
    <mergeCell ref="D35:E35"/>
    <mergeCell ref="B35:C35"/>
    <mergeCell ref="B36:C36"/>
    <mergeCell ref="A30:B30"/>
    <mergeCell ref="A31:B31"/>
    <mergeCell ref="C30:E30"/>
    <mergeCell ref="C31:E31"/>
    <mergeCell ref="A24:C24"/>
    <mergeCell ref="D24:E24"/>
    <mergeCell ref="A34:E34"/>
    <mergeCell ref="A26:E26"/>
    <mergeCell ref="A28:E28"/>
  </mergeCells>
  <phoneticPr fontId="17" alignment="center"/>
  <dataValidations count="2">
    <dataValidation type="list" allowBlank="1" showInputMessage="1" showErrorMessage="1" sqref="B36:C36" xr:uid="{00000000-0002-0000-1D00-000000000000}">
      <formula1>$I$5:$I$8</formula1>
    </dataValidation>
    <dataValidation type="list" allowBlank="1" showInputMessage="1" showErrorMessage="1" sqref="A36" xr:uid="{00000000-0002-0000-1D00-000001000000}">
      <formula1>"15,20,25,30,35,45,50,55,60,65,70,75,80,85,90,95,100,110,120,130,140,150,160,170,180,190,200"</formula1>
    </dataValidation>
  </dataValidations>
  <hyperlinks>
    <hyperlink ref="F2" location="СОДЕРЖАНИЕ!A1" display="назад к содержанию" xr:uid="{00000000-0004-0000-1D00-000000000000}"/>
    <hyperlink ref="N2" location="Спасибо!A3" display="Спасибо!" xr:uid="{4985EAB2-E184-8B4D-A470-69CF45852157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A52"/>
  <sheetViews>
    <sheetView topLeftCell="BH1" workbookViewId="0">
      <selection activeCell="BJ33" sqref="BJ33"/>
    </sheetView>
  </sheetViews>
  <sheetFormatPr defaultRowHeight="15" x14ac:dyDescent="0.25"/>
  <cols>
    <col min="1" max="1" width="11.5703125" style="15" hidden="1" customWidth="1"/>
    <col min="2" max="2" width="8" hidden="1" customWidth="1"/>
    <col min="3" max="3" width="9.7109375" hidden="1" customWidth="1"/>
    <col min="4" max="5" width="13.140625" hidden="1" customWidth="1"/>
    <col min="6" max="6" width="12.7109375" hidden="1" customWidth="1"/>
    <col min="7" max="7" width="10.7109375" style="18" hidden="1" customWidth="1"/>
    <col min="8" max="8" width="8.85546875" style="18" hidden="1" customWidth="1"/>
    <col min="9" max="9" width="4.5703125" hidden="1" customWidth="1"/>
    <col min="10" max="10" width="4.5703125" style="349" hidden="1" customWidth="1"/>
    <col min="11" max="11" width="4.5703125" style="350" hidden="1" customWidth="1"/>
    <col min="12" max="17" width="4.5703125" style="146" hidden="1" customWidth="1"/>
    <col min="18" max="58" width="4.5703125" hidden="1" customWidth="1"/>
    <col min="59" max="59" width="13.7109375" style="146" hidden="1" customWidth="1"/>
    <col min="60" max="60" width="10.7109375" style="18" bestFit="1" customWidth="1"/>
    <col min="62" max="62" width="10.28515625" bestFit="1" customWidth="1"/>
    <col min="76" max="78" width="0" hidden="1" customWidth="1"/>
  </cols>
  <sheetData>
    <row r="1" spans="1:79" ht="15.75" thickBot="1" x14ac:dyDescent="0.3">
      <c r="BH1" s="1229" t="str">
        <f>'3.7 Деревья'!A1</f>
        <v>Актуально на 01 апреля 2022</v>
      </c>
      <c r="BI1" s="1229"/>
      <c r="BJ1" s="1229"/>
    </row>
    <row r="2" spans="1:79" ht="36.6" customHeight="1" thickBot="1" x14ac:dyDescent="0.3">
      <c r="A2" s="15" t="s">
        <v>441</v>
      </c>
      <c r="B2" s="346" t="s">
        <v>442</v>
      </c>
      <c r="C2" s="346" t="s">
        <v>443</v>
      </c>
      <c r="D2" s="347" t="s">
        <v>444</v>
      </c>
      <c r="E2" s="347" t="s">
        <v>445</v>
      </c>
      <c r="F2" s="347" t="s">
        <v>446</v>
      </c>
      <c r="G2" s="348" t="s">
        <v>447</v>
      </c>
      <c r="H2" s="18" t="s">
        <v>448</v>
      </c>
      <c r="BH2" s="1243" t="s">
        <v>449</v>
      </c>
      <c r="BI2" s="1244"/>
      <c r="BJ2" s="1243"/>
      <c r="BK2" s="1243"/>
      <c r="BL2" s="1243"/>
      <c r="BM2" s="1243"/>
      <c r="BN2" s="1243"/>
      <c r="BO2" s="1243"/>
      <c r="BP2" s="1243"/>
      <c r="BQ2" s="1243"/>
      <c r="BR2" s="1243"/>
      <c r="BS2" s="1243"/>
      <c r="BT2" s="1243"/>
      <c r="BU2" s="1243"/>
      <c r="BV2" s="1243"/>
      <c r="BW2" s="292" t="s">
        <v>302</v>
      </c>
      <c r="BX2" s="18"/>
      <c r="CA2" s="579" t="s">
        <v>622</v>
      </c>
    </row>
    <row r="3" spans="1:79" x14ac:dyDescent="0.25">
      <c r="A3" s="15" t="s">
        <v>450</v>
      </c>
      <c r="B3" s="346"/>
      <c r="C3" s="346"/>
      <c r="D3" s="347"/>
      <c r="E3" s="347"/>
      <c r="F3" s="347"/>
      <c r="G3" s="348"/>
      <c r="BH3" s="1245" t="s">
        <v>504</v>
      </c>
      <c r="BI3" s="1245"/>
      <c r="BJ3" s="1245"/>
      <c r="BK3" s="1245"/>
      <c r="BL3" s="1245"/>
      <c r="BM3" s="1245"/>
      <c r="BN3" s="1245"/>
      <c r="BO3" s="1245"/>
      <c r="BP3" s="1245"/>
      <c r="BQ3" s="1245"/>
      <c r="BR3" s="1245"/>
      <c r="BS3" s="1245"/>
      <c r="BT3" s="1245"/>
      <c r="BU3" s="1245"/>
      <c r="BV3" s="1245"/>
      <c r="CA3" s="18"/>
    </row>
    <row r="4" spans="1:79" ht="33.75" x14ac:dyDescent="0.25">
      <c r="A4" s="15" t="s">
        <v>451</v>
      </c>
      <c r="B4" s="351">
        <v>1</v>
      </c>
      <c r="C4" s="346">
        <f t="shared" ref="C4:C51" si="0">B4/7</f>
        <v>0.14285714285714285</v>
      </c>
      <c r="D4" s="352">
        <f>(SQRT((B4*B4)+(C4*2)*(C4*2)))*2+(SQRT((B4/7*5)*(B4/7*5)+(C4*1.5)*(C4*1.5))-C4)*2+(7*C4)</f>
        <v>4.2857894696387984</v>
      </c>
      <c r="E4" s="353">
        <v>1.25</v>
      </c>
      <c r="F4" s="347">
        <v>0</v>
      </c>
      <c r="G4" s="354">
        <f>F4*E4</f>
        <v>0</v>
      </c>
      <c r="H4" s="355">
        <f>D4+G4</f>
        <v>4.2857894696387984</v>
      </c>
      <c r="I4" s="356">
        <f>H4</f>
        <v>4.2857894696387984</v>
      </c>
      <c r="J4" s="356">
        <f t="shared" ref="J4:Y19" si="1">I4</f>
        <v>4.2857894696387984</v>
      </c>
      <c r="K4" s="356">
        <f t="shared" si="1"/>
        <v>4.2857894696387984</v>
      </c>
      <c r="L4" s="356">
        <f t="shared" si="1"/>
        <v>4.2857894696387984</v>
      </c>
      <c r="M4" s="356">
        <f t="shared" si="1"/>
        <v>4.2857894696387984</v>
      </c>
      <c r="N4" s="356">
        <f t="shared" si="1"/>
        <v>4.2857894696387984</v>
      </c>
      <c r="O4" s="356">
        <f t="shared" si="1"/>
        <v>4.2857894696387984</v>
      </c>
      <c r="P4" s="356">
        <f t="shared" si="1"/>
        <v>4.2857894696387984</v>
      </c>
      <c r="Q4" s="356">
        <f t="shared" si="1"/>
        <v>4.2857894696387984</v>
      </c>
      <c r="R4" s="356">
        <f t="shared" si="1"/>
        <v>4.2857894696387984</v>
      </c>
      <c r="S4" s="356">
        <f t="shared" si="1"/>
        <v>4.2857894696387984</v>
      </c>
      <c r="T4" s="356">
        <f t="shared" si="1"/>
        <v>4.2857894696387984</v>
      </c>
      <c r="U4" s="356">
        <f t="shared" si="1"/>
        <v>4.2857894696387984</v>
      </c>
      <c r="V4" s="356">
        <f t="shared" si="1"/>
        <v>4.2857894696387984</v>
      </c>
      <c r="W4" s="356">
        <f t="shared" si="1"/>
        <v>4.2857894696387984</v>
      </c>
      <c r="X4" s="356">
        <f t="shared" si="1"/>
        <v>4.2857894696387984</v>
      </c>
      <c r="Y4" s="356">
        <f t="shared" si="1"/>
        <v>4.2857894696387984</v>
      </c>
      <c r="Z4" s="356">
        <f t="shared" ref="Z4:AO19" si="2">Y4</f>
        <v>4.2857894696387984</v>
      </c>
      <c r="AA4" s="356">
        <f t="shared" si="2"/>
        <v>4.2857894696387984</v>
      </c>
      <c r="AB4" s="356">
        <f t="shared" si="2"/>
        <v>4.2857894696387984</v>
      </c>
      <c r="AC4" s="356">
        <f t="shared" si="2"/>
        <v>4.2857894696387984</v>
      </c>
      <c r="AD4" s="356">
        <f t="shared" si="2"/>
        <v>4.2857894696387984</v>
      </c>
      <c r="AE4" s="356">
        <f t="shared" si="2"/>
        <v>4.2857894696387984</v>
      </c>
      <c r="AF4" s="356">
        <f t="shared" si="2"/>
        <v>4.2857894696387984</v>
      </c>
      <c r="AG4" s="356">
        <f t="shared" si="2"/>
        <v>4.2857894696387984</v>
      </c>
      <c r="AH4" s="356">
        <f t="shared" si="2"/>
        <v>4.2857894696387984</v>
      </c>
      <c r="AI4" s="356">
        <f t="shared" si="2"/>
        <v>4.2857894696387984</v>
      </c>
      <c r="AJ4" s="356">
        <f t="shared" si="2"/>
        <v>4.2857894696387984</v>
      </c>
      <c r="AK4" s="356">
        <f t="shared" si="2"/>
        <v>4.2857894696387984</v>
      </c>
      <c r="AL4" s="356">
        <f t="shared" si="2"/>
        <v>4.2857894696387984</v>
      </c>
      <c r="AM4" s="356">
        <f t="shared" si="2"/>
        <v>4.2857894696387984</v>
      </c>
      <c r="AN4" s="356">
        <f t="shared" si="2"/>
        <v>4.2857894696387984</v>
      </c>
      <c r="AO4" s="356">
        <f t="shared" si="2"/>
        <v>4.2857894696387984</v>
      </c>
      <c r="AP4" s="356">
        <f t="shared" ref="AP4:BD18" si="3">AO4</f>
        <v>4.2857894696387984</v>
      </c>
      <c r="AQ4" s="356">
        <f t="shared" si="3"/>
        <v>4.2857894696387984</v>
      </c>
      <c r="AR4" s="356">
        <f t="shared" si="3"/>
        <v>4.2857894696387984</v>
      </c>
      <c r="AS4" s="356">
        <f t="shared" si="3"/>
        <v>4.2857894696387984</v>
      </c>
      <c r="AT4" s="356">
        <f t="shared" si="3"/>
        <v>4.2857894696387984</v>
      </c>
      <c r="AU4" s="356">
        <f t="shared" si="3"/>
        <v>4.2857894696387984</v>
      </c>
      <c r="AV4" s="356">
        <f t="shared" si="3"/>
        <v>4.2857894696387984</v>
      </c>
      <c r="AW4" s="356">
        <f t="shared" si="3"/>
        <v>4.2857894696387984</v>
      </c>
      <c r="AX4" s="356">
        <f t="shared" si="3"/>
        <v>4.2857894696387984</v>
      </c>
      <c r="AY4" s="356">
        <f t="shared" si="3"/>
        <v>4.2857894696387984</v>
      </c>
      <c r="AZ4" s="356">
        <f t="shared" si="3"/>
        <v>4.2857894696387984</v>
      </c>
      <c r="BA4" s="356">
        <f t="shared" si="3"/>
        <v>4.2857894696387984</v>
      </c>
      <c r="BB4" s="356">
        <f t="shared" si="3"/>
        <v>4.2857894696387984</v>
      </c>
      <c r="BC4" s="356">
        <f t="shared" si="3"/>
        <v>4.2857894696387984</v>
      </c>
      <c r="BD4" s="356">
        <f t="shared" si="3"/>
        <v>4.2857894696387984</v>
      </c>
      <c r="BE4" s="356"/>
      <c r="BF4" s="356"/>
      <c r="BH4" s="384" t="s">
        <v>450</v>
      </c>
      <c r="BI4" s="384" t="s">
        <v>450</v>
      </c>
      <c r="BJ4" s="384" t="s">
        <v>450</v>
      </c>
      <c r="BK4" s="384" t="s">
        <v>450</v>
      </c>
      <c r="BL4" s="384" t="s">
        <v>450</v>
      </c>
      <c r="BM4" s="384" t="s">
        <v>450</v>
      </c>
      <c r="BN4" s="384" t="s">
        <v>450</v>
      </c>
      <c r="BO4" s="384" t="s">
        <v>450</v>
      </c>
      <c r="BP4" s="384" t="s">
        <v>450</v>
      </c>
      <c r="BQ4" s="384" t="s">
        <v>450</v>
      </c>
      <c r="BR4" s="384" t="s">
        <v>450</v>
      </c>
      <c r="BS4" s="384" t="s">
        <v>450</v>
      </c>
      <c r="BT4" s="384" t="s">
        <v>450</v>
      </c>
      <c r="BU4" s="384" t="s">
        <v>450</v>
      </c>
      <c r="BV4" s="384" t="s">
        <v>450</v>
      </c>
    </row>
    <row r="5" spans="1:79" x14ac:dyDescent="0.25">
      <c r="A5" s="15" t="s">
        <v>452</v>
      </c>
      <c r="B5" s="346">
        <f t="shared" ref="B5:B51" si="4">B4</f>
        <v>1</v>
      </c>
      <c r="C5" s="346">
        <f t="shared" si="0"/>
        <v>0.14285714285714285</v>
      </c>
      <c r="D5" s="352">
        <f>3.78*B5</f>
        <v>3.78</v>
      </c>
      <c r="E5" s="347">
        <f>E4</f>
        <v>1.25</v>
      </c>
      <c r="F5" s="347">
        <f>0.57*B5</f>
        <v>0.56999999999999995</v>
      </c>
      <c r="G5" s="354">
        <f t="shared" ref="G5:G51" si="5">F5*E5</f>
        <v>0.71249999999999991</v>
      </c>
      <c r="H5" s="355">
        <f t="shared" ref="H5:H51" si="6">D5+G5</f>
        <v>4.4924999999999997</v>
      </c>
      <c r="I5" s="356">
        <f t="shared" ref="I5:X20" si="7">H5</f>
        <v>4.4924999999999997</v>
      </c>
      <c r="J5" s="356">
        <f t="shared" si="7"/>
        <v>4.4924999999999997</v>
      </c>
      <c r="K5" s="356">
        <f t="shared" si="7"/>
        <v>4.4924999999999997</v>
      </c>
      <c r="L5" s="356">
        <f t="shared" si="7"/>
        <v>4.4924999999999997</v>
      </c>
      <c r="M5" s="356">
        <f t="shared" si="7"/>
        <v>4.4924999999999997</v>
      </c>
      <c r="N5" s="356">
        <f t="shared" si="7"/>
        <v>4.4924999999999997</v>
      </c>
      <c r="O5" s="356">
        <f t="shared" si="7"/>
        <v>4.4924999999999997</v>
      </c>
      <c r="P5" s="356">
        <f t="shared" si="7"/>
        <v>4.4924999999999997</v>
      </c>
      <c r="Q5" s="356">
        <f t="shared" si="7"/>
        <v>4.4924999999999997</v>
      </c>
      <c r="R5" s="356">
        <f t="shared" si="7"/>
        <v>4.4924999999999997</v>
      </c>
      <c r="S5" s="356">
        <f t="shared" si="7"/>
        <v>4.4924999999999997</v>
      </c>
      <c r="T5" s="356">
        <f t="shared" si="7"/>
        <v>4.4924999999999997</v>
      </c>
      <c r="U5" s="356">
        <f t="shared" si="7"/>
        <v>4.4924999999999997</v>
      </c>
      <c r="V5" s="356">
        <f t="shared" si="7"/>
        <v>4.4924999999999997</v>
      </c>
      <c r="W5" s="356">
        <f t="shared" si="7"/>
        <v>4.4924999999999997</v>
      </c>
      <c r="X5" s="356">
        <f t="shared" si="7"/>
        <v>4.4924999999999997</v>
      </c>
      <c r="Y5" s="356">
        <f t="shared" si="1"/>
        <v>4.4924999999999997</v>
      </c>
      <c r="Z5" s="356">
        <f t="shared" si="2"/>
        <v>4.4924999999999997</v>
      </c>
      <c r="AA5" s="356">
        <f t="shared" si="2"/>
        <v>4.4924999999999997</v>
      </c>
      <c r="AB5" s="356">
        <f t="shared" si="2"/>
        <v>4.4924999999999997</v>
      </c>
      <c r="AC5" s="356">
        <f t="shared" si="2"/>
        <v>4.4924999999999997</v>
      </c>
      <c r="AD5" s="356">
        <f t="shared" si="2"/>
        <v>4.4924999999999997</v>
      </c>
      <c r="AE5" s="356">
        <f t="shared" si="2"/>
        <v>4.4924999999999997</v>
      </c>
      <c r="AF5" s="356">
        <f t="shared" si="2"/>
        <v>4.4924999999999997</v>
      </c>
      <c r="AG5" s="356">
        <f t="shared" si="2"/>
        <v>4.4924999999999997</v>
      </c>
      <c r="AH5" s="356">
        <f t="shared" si="2"/>
        <v>4.4924999999999997</v>
      </c>
      <c r="AI5" s="356">
        <f t="shared" si="2"/>
        <v>4.4924999999999997</v>
      </c>
      <c r="AJ5" s="356">
        <f t="shared" si="2"/>
        <v>4.4924999999999997</v>
      </c>
      <c r="AK5" s="356">
        <f t="shared" si="2"/>
        <v>4.4924999999999997</v>
      </c>
      <c r="AL5" s="356">
        <f t="shared" si="2"/>
        <v>4.4924999999999997</v>
      </c>
      <c r="AM5" s="356">
        <f t="shared" si="2"/>
        <v>4.4924999999999997</v>
      </c>
      <c r="AN5" s="356">
        <f t="shared" si="2"/>
        <v>4.4924999999999997</v>
      </c>
      <c r="AO5" s="356">
        <f t="shared" si="2"/>
        <v>4.4924999999999997</v>
      </c>
      <c r="AP5" s="356">
        <f t="shared" si="3"/>
        <v>4.4924999999999997</v>
      </c>
      <c r="AQ5" s="356">
        <f t="shared" si="3"/>
        <v>4.4924999999999997</v>
      </c>
      <c r="AR5" s="356">
        <f t="shared" si="3"/>
        <v>4.4924999999999997</v>
      </c>
      <c r="AS5" s="356">
        <f t="shared" si="3"/>
        <v>4.4924999999999997</v>
      </c>
      <c r="AT5" s="356">
        <f t="shared" si="3"/>
        <v>4.4924999999999997</v>
      </c>
      <c r="AU5" s="356">
        <f t="shared" si="3"/>
        <v>4.4924999999999997</v>
      </c>
      <c r="AV5" s="356">
        <f t="shared" si="3"/>
        <v>4.4924999999999997</v>
      </c>
      <c r="AW5" s="356">
        <f t="shared" si="3"/>
        <v>4.4924999999999997</v>
      </c>
      <c r="AX5" s="356">
        <f t="shared" si="3"/>
        <v>4.4924999999999997</v>
      </c>
      <c r="AY5" s="356">
        <f t="shared" si="3"/>
        <v>4.4924999999999997</v>
      </c>
      <c r="AZ5" s="356">
        <f t="shared" si="3"/>
        <v>4.4924999999999997</v>
      </c>
      <c r="BA5" s="356">
        <f t="shared" si="3"/>
        <v>4.4924999999999997</v>
      </c>
      <c r="BB5" s="356">
        <f t="shared" si="3"/>
        <v>4.4924999999999997</v>
      </c>
      <c r="BC5" s="356">
        <f t="shared" si="3"/>
        <v>4.4924999999999997</v>
      </c>
      <c r="BD5" s="356">
        <f t="shared" si="3"/>
        <v>4.4924999999999997</v>
      </c>
      <c r="BE5" s="356"/>
      <c r="BF5" s="356"/>
      <c r="BH5" s="357" t="str">
        <f t="shared" ref="BH5:BV5" si="8">IF(BH4="а",H4,IF(BH4="б",H5,IF(BH4="в",H6,IF(BH4="г",H7,IF(BH4="д",H8,IF(BH4="е",H9,IF(BH4="ё",H10,IF(BH4="ж",H11,IF(BH4="з",H12,IF(BH4="и",H13,IF(BH4="й",H14,IF(BH4="к",H15,IF(BH4="л",H16,IF(BH4="м",H17,IF(BH4="н",H18,IF(BH4="о",H19,IF(BH4="п",H20,IF(BH4="р",H21,IF(BH4="с",H22,IF(BH4="т",H23,IF(BH4="у",H24,IF(BH4="ф",H25,IF(BH4="х",H26,IF(BH4="ц",H27,IF(BH4="ч",H28,IF(BH4="ш",H29,IF(BH4="щ",H30,IF(BH4="ъ",H31,IF(BH4="ы",H32,IF(BH4="ь",H33,IF(BH4="э",H34,IF(BH4="ю",H35,IF(BH4="я",H36,IF(BH4=1,H37,IF(BH4=2,H38,IF(BH4=3,H39,IF(BH4=4,H40,IF(BH4=5,H41,IF(BH4=6,H42,IF(BH4=7,H43,IF(BH4=8,H44,IF(BH4=9,H45,IF(BH4=0,H46,IF(BH4="№",H47,IF(BH4="-",H48,IF(BH4=")",H50,IF(BH4="!",H51,IF(BH4="(",H50,IF(BH4="...",H52,""))))))))))))))))))))))))))))))))))))))))))))
)))))</f>
        <v/>
      </c>
      <c r="BI5" s="357" t="str">
        <f t="shared" si="8"/>
        <v/>
      </c>
      <c r="BJ5" s="357" t="str">
        <f t="shared" si="8"/>
        <v/>
      </c>
      <c r="BK5" s="357" t="str">
        <f t="shared" si="8"/>
        <v/>
      </c>
      <c r="BL5" s="357" t="str">
        <f t="shared" si="8"/>
        <v/>
      </c>
      <c r="BM5" s="357" t="str">
        <f t="shared" si="8"/>
        <v/>
      </c>
      <c r="BN5" s="357" t="str">
        <f t="shared" si="8"/>
        <v/>
      </c>
      <c r="BO5" s="357" t="str">
        <f t="shared" si="8"/>
        <v/>
      </c>
      <c r="BP5" s="357" t="str">
        <f t="shared" si="8"/>
        <v/>
      </c>
      <c r="BQ5" s="357" t="str">
        <f t="shared" si="8"/>
        <v/>
      </c>
      <c r="BR5" s="357" t="str">
        <f t="shared" si="8"/>
        <v/>
      </c>
      <c r="BS5" s="357" t="str">
        <f t="shared" si="8"/>
        <v/>
      </c>
      <c r="BT5" s="357" t="str">
        <f t="shared" si="8"/>
        <v/>
      </c>
      <c r="BU5" s="357" t="str">
        <f t="shared" si="8"/>
        <v/>
      </c>
      <c r="BV5" s="357" t="str">
        <f t="shared" si="8"/>
        <v/>
      </c>
    </row>
    <row r="6" spans="1:79" x14ac:dyDescent="0.25">
      <c r="A6" s="15" t="s">
        <v>453</v>
      </c>
      <c r="B6" s="346">
        <f t="shared" si="4"/>
        <v>1</v>
      </c>
      <c r="C6" s="346">
        <f t="shared" si="0"/>
        <v>0.14285714285714285</v>
      </c>
      <c r="D6" s="352">
        <f>3.35*B6</f>
        <v>3.35</v>
      </c>
      <c r="E6" s="347">
        <f t="shared" ref="E6:E51" si="9">E5</f>
        <v>1.25</v>
      </c>
      <c r="F6" s="347">
        <f>1.14*B6</f>
        <v>1.1399999999999999</v>
      </c>
      <c r="G6" s="354">
        <f t="shared" si="5"/>
        <v>1.4249999999999998</v>
      </c>
      <c r="H6" s="355">
        <f t="shared" si="6"/>
        <v>4.7750000000000004</v>
      </c>
      <c r="I6" s="356">
        <f t="shared" si="7"/>
        <v>4.7750000000000004</v>
      </c>
      <c r="J6" s="356">
        <f t="shared" si="7"/>
        <v>4.7750000000000004</v>
      </c>
      <c r="K6" s="356">
        <f t="shared" si="7"/>
        <v>4.7750000000000004</v>
      </c>
      <c r="L6" s="356">
        <f t="shared" si="7"/>
        <v>4.7750000000000004</v>
      </c>
      <c r="M6" s="356">
        <f t="shared" si="7"/>
        <v>4.7750000000000004</v>
      </c>
      <c r="N6" s="356">
        <f t="shared" si="7"/>
        <v>4.7750000000000004</v>
      </c>
      <c r="O6" s="356">
        <f t="shared" si="7"/>
        <v>4.7750000000000004</v>
      </c>
      <c r="P6" s="356">
        <f t="shared" si="7"/>
        <v>4.7750000000000004</v>
      </c>
      <c r="Q6" s="356">
        <f t="shared" si="7"/>
        <v>4.7750000000000004</v>
      </c>
      <c r="R6" s="356">
        <f t="shared" si="7"/>
        <v>4.7750000000000004</v>
      </c>
      <c r="S6" s="356">
        <f t="shared" si="7"/>
        <v>4.7750000000000004</v>
      </c>
      <c r="T6" s="356">
        <f t="shared" si="7"/>
        <v>4.7750000000000004</v>
      </c>
      <c r="U6" s="356">
        <f t="shared" si="7"/>
        <v>4.7750000000000004</v>
      </c>
      <c r="V6" s="356">
        <f t="shared" si="7"/>
        <v>4.7750000000000004</v>
      </c>
      <c r="W6" s="356">
        <f t="shared" si="7"/>
        <v>4.7750000000000004</v>
      </c>
      <c r="X6" s="356">
        <f t="shared" si="7"/>
        <v>4.7750000000000004</v>
      </c>
      <c r="Y6" s="356">
        <f t="shared" si="1"/>
        <v>4.7750000000000004</v>
      </c>
      <c r="Z6" s="356">
        <f t="shared" si="2"/>
        <v>4.7750000000000004</v>
      </c>
      <c r="AA6" s="356">
        <f t="shared" si="2"/>
        <v>4.7750000000000004</v>
      </c>
      <c r="AB6" s="356">
        <f t="shared" si="2"/>
        <v>4.7750000000000004</v>
      </c>
      <c r="AC6" s="356">
        <f t="shared" si="2"/>
        <v>4.7750000000000004</v>
      </c>
      <c r="AD6" s="356">
        <f t="shared" si="2"/>
        <v>4.7750000000000004</v>
      </c>
      <c r="AE6" s="356">
        <f t="shared" si="2"/>
        <v>4.7750000000000004</v>
      </c>
      <c r="AF6" s="356">
        <f t="shared" si="2"/>
        <v>4.7750000000000004</v>
      </c>
      <c r="AG6" s="356">
        <f t="shared" si="2"/>
        <v>4.7750000000000004</v>
      </c>
      <c r="AH6" s="356">
        <f t="shared" si="2"/>
        <v>4.7750000000000004</v>
      </c>
      <c r="AI6" s="356">
        <f t="shared" si="2"/>
        <v>4.7750000000000004</v>
      </c>
      <c r="AJ6" s="356">
        <f t="shared" si="2"/>
        <v>4.7750000000000004</v>
      </c>
      <c r="AK6" s="356">
        <f t="shared" si="2"/>
        <v>4.7750000000000004</v>
      </c>
      <c r="AL6" s="356">
        <f t="shared" si="2"/>
        <v>4.7750000000000004</v>
      </c>
      <c r="AM6" s="356">
        <f t="shared" si="2"/>
        <v>4.7750000000000004</v>
      </c>
      <c r="AN6" s="356">
        <f t="shared" si="2"/>
        <v>4.7750000000000004</v>
      </c>
      <c r="AO6" s="356">
        <f t="shared" si="2"/>
        <v>4.7750000000000004</v>
      </c>
      <c r="AP6" s="356">
        <f t="shared" si="3"/>
        <v>4.7750000000000004</v>
      </c>
      <c r="AQ6" s="356">
        <f t="shared" si="3"/>
        <v>4.7750000000000004</v>
      </c>
      <c r="AR6" s="356">
        <f t="shared" si="3"/>
        <v>4.7750000000000004</v>
      </c>
      <c r="AS6" s="356">
        <f t="shared" si="3"/>
        <v>4.7750000000000004</v>
      </c>
      <c r="AT6" s="356">
        <f t="shared" si="3"/>
        <v>4.7750000000000004</v>
      </c>
      <c r="AU6" s="356">
        <f t="shared" si="3"/>
        <v>4.7750000000000004</v>
      </c>
      <c r="AV6" s="356">
        <f t="shared" si="3"/>
        <v>4.7750000000000004</v>
      </c>
      <c r="AW6" s="356">
        <f t="shared" si="3"/>
        <v>4.7750000000000004</v>
      </c>
      <c r="AX6" s="356">
        <f t="shared" si="3"/>
        <v>4.7750000000000004</v>
      </c>
      <c r="AY6" s="356">
        <f t="shared" si="3"/>
        <v>4.7750000000000004</v>
      </c>
      <c r="AZ6" s="356">
        <f t="shared" si="3"/>
        <v>4.7750000000000004</v>
      </c>
      <c r="BA6" s="356">
        <f t="shared" si="3"/>
        <v>4.7750000000000004</v>
      </c>
      <c r="BB6" s="356">
        <f t="shared" si="3"/>
        <v>4.7750000000000004</v>
      </c>
      <c r="BC6" s="356">
        <f t="shared" si="3"/>
        <v>4.7750000000000004</v>
      </c>
      <c r="BD6" s="356">
        <f t="shared" si="3"/>
        <v>4.7750000000000004</v>
      </c>
      <c r="BE6" s="356"/>
      <c r="BF6" s="356"/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  <c r="BS6" s="358"/>
      <c r="BT6" s="358"/>
      <c r="BU6" s="358"/>
      <c r="BV6" s="358"/>
    </row>
    <row r="7" spans="1:79" ht="45" x14ac:dyDescent="0.25">
      <c r="A7" s="15" t="s">
        <v>454</v>
      </c>
      <c r="B7" s="346">
        <f t="shared" si="4"/>
        <v>1</v>
      </c>
      <c r="C7" s="346">
        <f t="shared" si="0"/>
        <v>0.14285714285714285</v>
      </c>
      <c r="D7" s="352">
        <f>2.85*B7+2*C7</f>
        <v>3.1357142857142857</v>
      </c>
      <c r="E7" s="347">
        <f t="shared" si="9"/>
        <v>1.25</v>
      </c>
      <c r="F7" s="347">
        <v>0</v>
      </c>
      <c r="G7" s="354">
        <f t="shared" si="5"/>
        <v>0</v>
      </c>
      <c r="H7" s="355">
        <f t="shared" si="6"/>
        <v>3.1357142857142857</v>
      </c>
      <c r="I7" s="356">
        <f t="shared" si="7"/>
        <v>3.1357142857142857</v>
      </c>
      <c r="J7" s="356">
        <f t="shared" si="7"/>
        <v>3.1357142857142857</v>
      </c>
      <c r="K7" s="356">
        <f t="shared" si="7"/>
        <v>3.1357142857142857</v>
      </c>
      <c r="L7" s="356">
        <f t="shared" si="7"/>
        <v>3.1357142857142857</v>
      </c>
      <c r="M7" s="356">
        <f t="shared" si="7"/>
        <v>3.1357142857142857</v>
      </c>
      <c r="N7" s="356">
        <f t="shared" si="7"/>
        <v>3.1357142857142857</v>
      </c>
      <c r="O7" s="356">
        <f t="shared" si="7"/>
        <v>3.1357142857142857</v>
      </c>
      <c r="P7" s="356">
        <f t="shared" si="7"/>
        <v>3.1357142857142857</v>
      </c>
      <c r="Q7" s="356">
        <f t="shared" si="7"/>
        <v>3.1357142857142857</v>
      </c>
      <c r="R7" s="356">
        <f t="shared" si="7"/>
        <v>3.1357142857142857</v>
      </c>
      <c r="S7" s="356">
        <f t="shared" si="7"/>
        <v>3.1357142857142857</v>
      </c>
      <c r="T7" s="356">
        <f t="shared" si="7"/>
        <v>3.1357142857142857</v>
      </c>
      <c r="U7" s="356">
        <f t="shared" si="7"/>
        <v>3.1357142857142857</v>
      </c>
      <c r="V7" s="356">
        <f t="shared" si="7"/>
        <v>3.1357142857142857</v>
      </c>
      <c r="W7" s="356">
        <f t="shared" si="7"/>
        <v>3.1357142857142857</v>
      </c>
      <c r="X7" s="356">
        <f t="shared" si="7"/>
        <v>3.1357142857142857</v>
      </c>
      <c r="Y7" s="356">
        <f t="shared" si="1"/>
        <v>3.1357142857142857</v>
      </c>
      <c r="Z7" s="356">
        <f t="shared" si="2"/>
        <v>3.1357142857142857</v>
      </c>
      <c r="AA7" s="356">
        <f t="shared" si="2"/>
        <v>3.1357142857142857</v>
      </c>
      <c r="AB7" s="356">
        <f t="shared" si="2"/>
        <v>3.1357142857142857</v>
      </c>
      <c r="AC7" s="356">
        <f t="shared" si="2"/>
        <v>3.1357142857142857</v>
      </c>
      <c r="AD7" s="356">
        <f t="shared" si="2"/>
        <v>3.1357142857142857</v>
      </c>
      <c r="AE7" s="356">
        <f t="shared" si="2"/>
        <v>3.1357142857142857</v>
      </c>
      <c r="AF7" s="356">
        <f t="shared" si="2"/>
        <v>3.1357142857142857</v>
      </c>
      <c r="AG7" s="356">
        <f t="shared" si="2"/>
        <v>3.1357142857142857</v>
      </c>
      <c r="AH7" s="356">
        <f t="shared" si="2"/>
        <v>3.1357142857142857</v>
      </c>
      <c r="AI7" s="356">
        <f t="shared" si="2"/>
        <v>3.1357142857142857</v>
      </c>
      <c r="AJ7" s="356">
        <f t="shared" si="2"/>
        <v>3.1357142857142857</v>
      </c>
      <c r="AK7" s="356">
        <f t="shared" si="2"/>
        <v>3.1357142857142857</v>
      </c>
      <c r="AL7" s="356">
        <f t="shared" si="2"/>
        <v>3.1357142857142857</v>
      </c>
      <c r="AM7" s="356">
        <f t="shared" si="2"/>
        <v>3.1357142857142857</v>
      </c>
      <c r="AN7" s="356">
        <f t="shared" si="2"/>
        <v>3.1357142857142857</v>
      </c>
      <c r="AO7" s="356">
        <f t="shared" si="2"/>
        <v>3.1357142857142857</v>
      </c>
      <c r="AP7" s="356">
        <f t="shared" si="3"/>
        <v>3.1357142857142857</v>
      </c>
      <c r="AQ7" s="356">
        <f t="shared" si="3"/>
        <v>3.1357142857142857</v>
      </c>
      <c r="AR7" s="356">
        <f t="shared" si="3"/>
        <v>3.1357142857142857</v>
      </c>
      <c r="AS7" s="356">
        <f t="shared" si="3"/>
        <v>3.1357142857142857</v>
      </c>
      <c r="AT7" s="356">
        <f t="shared" si="3"/>
        <v>3.1357142857142857</v>
      </c>
      <c r="AU7" s="356">
        <f t="shared" si="3"/>
        <v>3.1357142857142857</v>
      </c>
      <c r="AV7" s="356">
        <f t="shared" si="3"/>
        <v>3.1357142857142857</v>
      </c>
      <c r="AW7" s="356">
        <f t="shared" si="3"/>
        <v>3.1357142857142857</v>
      </c>
      <c r="AX7" s="356">
        <f t="shared" si="3"/>
        <v>3.1357142857142857</v>
      </c>
      <c r="AY7" s="356">
        <f t="shared" si="3"/>
        <v>3.1357142857142857</v>
      </c>
      <c r="AZ7" s="356">
        <f t="shared" si="3"/>
        <v>3.1357142857142857</v>
      </c>
      <c r="BA7" s="356">
        <f t="shared" si="3"/>
        <v>3.1357142857142857</v>
      </c>
      <c r="BB7" s="356">
        <f t="shared" si="3"/>
        <v>3.1357142857142857</v>
      </c>
      <c r="BC7" s="356">
        <f t="shared" si="3"/>
        <v>3.1357142857142857</v>
      </c>
      <c r="BD7" s="356">
        <f t="shared" si="3"/>
        <v>3.1357142857142857</v>
      </c>
      <c r="BE7" s="356"/>
      <c r="BF7" s="356"/>
      <c r="BH7" s="359" t="s">
        <v>455</v>
      </c>
      <c r="BI7" s="263" t="s">
        <v>456</v>
      </c>
      <c r="BJ7" s="263" t="s">
        <v>457</v>
      </c>
      <c r="BK7" s="263" t="s">
        <v>458</v>
      </c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</row>
    <row r="8" spans="1:79" ht="34.5" x14ac:dyDescent="0.25">
      <c r="A8" s="15" t="s">
        <v>459</v>
      </c>
      <c r="B8" s="346">
        <f t="shared" si="4"/>
        <v>1</v>
      </c>
      <c r="C8" s="346">
        <f t="shared" si="0"/>
        <v>0.14285714285714285</v>
      </c>
      <c r="D8" s="352">
        <f>4.92*B8</f>
        <v>4.92</v>
      </c>
      <c r="E8" s="347">
        <f t="shared" si="9"/>
        <v>1.25</v>
      </c>
      <c r="F8" s="347">
        <f>2*C8</f>
        <v>0.2857142857142857</v>
      </c>
      <c r="G8" s="354">
        <f t="shared" si="5"/>
        <v>0.3571428571428571</v>
      </c>
      <c r="H8" s="355">
        <f t="shared" si="6"/>
        <v>5.2771428571428567</v>
      </c>
      <c r="I8" s="356">
        <f t="shared" si="7"/>
        <v>5.2771428571428567</v>
      </c>
      <c r="J8" s="356">
        <f t="shared" si="7"/>
        <v>5.2771428571428567</v>
      </c>
      <c r="K8" s="356">
        <f t="shared" si="7"/>
        <v>5.2771428571428567</v>
      </c>
      <c r="L8" s="356">
        <f t="shared" si="7"/>
        <v>5.2771428571428567</v>
      </c>
      <c r="M8" s="356">
        <f t="shared" si="7"/>
        <v>5.2771428571428567</v>
      </c>
      <c r="N8" s="356">
        <f t="shared" si="7"/>
        <v>5.2771428571428567</v>
      </c>
      <c r="O8" s="356">
        <f t="shared" si="7"/>
        <v>5.2771428571428567</v>
      </c>
      <c r="P8" s="356">
        <f t="shared" si="7"/>
        <v>5.2771428571428567</v>
      </c>
      <c r="Q8" s="356">
        <f t="shared" si="7"/>
        <v>5.2771428571428567</v>
      </c>
      <c r="R8" s="356">
        <f t="shared" si="7"/>
        <v>5.2771428571428567</v>
      </c>
      <c r="S8" s="356">
        <f t="shared" si="7"/>
        <v>5.2771428571428567</v>
      </c>
      <c r="T8" s="356">
        <f t="shared" si="7"/>
        <v>5.2771428571428567</v>
      </c>
      <c r="U8" s="356">
        <f t="shared" si="7"/>
        <v>5.2771428571428567</v>
      </c>
      <c r="V8" s="356">
        <f t="shared" si="7"/>
        <v>5.2771428571428567</v>
      </c>
      <c r="W8" s="356">
        <f t="shared" si="7"/>
        <v>5.2771428571428567</v>
      </c>
      <c r="X8" s="356">
        <f t="shared" si="7"/>
        <v>5.2771428571428567</v>
      </c>
      <c r="Y8" s="356">
        <f t="shared" si="1"/>
        <v>5.2771428571428567</v>
      </c>
      <c r="Z8" s="356">
        <f t="shared" si="2"/>
        <v>5.2771428571428567</v>
      </c>
      <c r="AA8" s="356">
        <f t="shared" si="2"/>
        <v>5.2771428571428567</v>
      </c>
      <c r="AB8" s="356">
        <f t="shared" si="2"/>
        <v>5.2771428571428567</v>
      </c>
      <c r="AC8" s="356">
        <f t="shared" si="2"/>
        <v>5.2771428571428567</v>
      </c>
      <c r="AD8" s="356">
        <f t="shared" si="2"/>
        <v>5.2771428571428567</v>
      </c>
      <c r="AE8" s="356">
        <f t="shared" si="2"/>
        <v>5.2771428571428567</v>
      </c>
      <c r="AF8" s="356">
        <f t="shared" si="2"/>
        <v>5.2771428571428567</v>
      </c>
      <c r="AG8" s="356">
        <f t="shared" si="2"/>
        <v>5.2771428571428567</v>
      </c>
      <c r="AH8" s="356">
        <f t="shared" si="2"/>
        <v>5.2771428571428567</v>
      </c>
      <c r="AI8" s="356">
        <f t="shared" si="2"/>
        <v>5.2771428571428567</v>
      </c>
      <c r="AJ8" s="356">
        <f t="shared" si="2"/>
        <v>5.2771428571428567</v>
      </c>
      <c r="AK8" s="356">
        <f t="shared" si="2"/>
        <v>5.2771428571428567</v>
      </c>
      <c r="AL8" s="356">
        <f t="shared" si="2"/>
        <v>5.2771428571428567</v>
      </c>
      <c r="AM8" s="356">
        <f t="shared" si="2"/>
        <v>5.2771428571428567</v>
      </c>
      <c r="AN8" s="356">
        <f t="shared" si="2"/>
        <v>5.2771428571428567</v>
      </c>
      <c r="AO8" s="356">
        <f t="shared" si="2"/>
        <v>5.2771428571428567</v>
      </c>
      <c r="AP8" s="356">
        <f t="shared" si="3"/>
        <v>5.2771428571428567</v>
      </c>
      <c r="AQ8" s="356">
        <f t="shared" si="3"/>
        <v>5.2771428571428567</v>
      </c>
      <c r="AR8" s="356">
        <f t="shared" si="3"/>
        <v>5.2771428571428567</v>
      </c>
      <c r="AS8" s="356">
        <f t="shared" si="3"/>
        <v>5.2771428571428567</v>
      </c>
      <c r="AT8" s="356">
        <f t="shared" si="3"/>
        <v>5.2771428571428567</v>
      </c>
      <c r="AU8" s="356">
        <f t="shared" si="3"/>
        <v>5.2771428571428567</v>
      </c>
      <c r="AV8" s="356">
        <f t="shared" si="3"/>
        <v>5.2771428571428567</v>
      </c>
      <c r="AW8" s="356">
        <f t="shared" si="3"/>
        <v>5.2771428571428567</v>
      </c>
      <c r="AX8" s="356">
        <f t="shared" si="3"/>
        <v>5.2771428571428567</v>
      </c>
      <c r="AY8" s="356">
        <f t="shared" si="3"/>
        <v>5.2771428571428567</v>
      </c>
      <c r="AZ8" s="356">
        <f t="shared" si="3"/>
        <v>5.2771428571428567</v>
      </c>
      <c r="BA8" s="356">
        <f t="shared" si="3"/>
        <v>5.2771428571428567</v>
      </c>
      <c r="BB8" s="356">
        <f t="shared" si="3"/>
        <v>5.2771428571428567</v>
      </c>
      <c r="BC8" s="356">
        <f t="shared" si="3"/>
        <v>5.2771428571428567</v>
      </c>
      <c r="BD8" s="356">
        <f t="shared" si="3"/>
        <v>5.2771428571428567</v>
      </c>
      <c r="BE8" s="356"/>
      <c r="BF8" s="356"/>
      <c r="BH8" s="361"/>
      <c r="BI8" s="362" t="s">
        <v>542</v>
      </c>
      <c r="BJ8" s="363">
        <f>BI9*BH8</f>
        <v>0</v>
      </c>
      <c r="BK8" s="364">
        <f>ROUND(BJ9,-2)</f>
        <v>0</v>
      </c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</row>
    <row r="9" spans="1:79" hidden="1" x14ac:dyDescent="0.25">
      <c r="A9" s="15" t="s">
        <v>460</v>
      </c>
      <c r="B9" s="346">
        <f t="shared" si="4"/>
        <v>1</v>
      </c>
      <c r="C9" s="346">
        <f t="shared" si="0"/>
        <v>0.14285714285714285</v>
      </c>
      <c r="D9" s="352">
        <f>4*B9+3*C9</f>
        <v>4.4285714285714288</v>
      </c>
      <c r="E9" s="347">
        <f t="shared" si="9"/>
        <v>1.25</v>
      </c>
      <c r="F9" s="347">
        <v>0</v>
      </c>
      <c r="G9" s="354">
        <f t="shared" si="5"/>
        <v>0</v>
      </c>
      <c r="H9" s="355">
        <f t="shared" si="6"/>
        <v>4.4285714285714288</v>
      </c>
      <c r="I9" s="356">
        <f t="shared" si="7"/>
        <v>4.4285714285714288</v>
      </c>
      <c r="J9" s="356">
        <f t="shared" si="7"/>
        <v>4.4285714285714288</v>
      </c>
      <c r="K9" s="356">
        <f t="shared" si="7"/>
        <v>4.4285714285714288</v>
      </c>
      <c r="L9" s="356">
        <f t="shared" si="7"/>
        <v>4.4285714285714288</v>
      </c>
      <c r="M9" s="356">
        <f t="shared" si="7"/>
        <v>4.4285714285714288</v>
      </c>
      <c r="N9" s="356">
        <f t="shared" si="7"/>
        <v>4.4285714285714288</v>
      </c>
      <c r="O9" s="356">
        <f t="shared" si="7"/>
        <v>4.4285714285714288</v>
      </c>
      <c r="P9" s="356">
        <f t="shared" si="7"/>
        <v>4.4285714285714288</v>
      </c>
      <c r="Q9" s="356">
        <f t="shared" si="7"/>
        <v>4.4285714285714288</v>
      </c>
      <c r="R9" s="356">
        <f t="shared" si="7"/>
        <v>4.4285714285714288</v>
      </c>
      <c r="S9" s="356">
        <f t="shared" si="7"/>
        <v>4.4285714285714288</v>
      </c>
      <c r="T9" s="356">
        <f t="shared" si="7"/>
        <v>4.4285714285714288</v>
      </c>
      <c r="U9" s="356">
        <f t="shared" si="7"/>
        <v>4.4285714285714288</v>
      </c>
      <c r="V9" s="356">
        <f t="shared" si="7"/>
        <v>4.4285714285714288</v>
      </c>
      <c r="W9" s="356">
        <f t="shared" si="7"/>
        <v>4.4285714285714288</v>
      </c>
      <c r="X9" s="356">
        <f t="shared" si="7"/>
        <v>4.4285714285714288</v>
      </c>
      <c r="Y9" s="356">
        <f t="shared" si="1"/>
        <v>4.4285714285714288</v>
      </c>
      <c r="Z9" s="356">
        <f t="shared" si="2"/>
        <v>4.4285714285714288</v>
      </c>
      <c r="AA9" s="356">
        <f t="shared" si="2"/>
        <v>4.4285714285714288</v>
      </c>
      <c r="AB9" s="356">
        <f t="shared" si="2"/>
        <v>4.4285714285714288</v>
      </c>
      <c r="AC9" s="356">
        <f t="shared" si="2"/>
        <v>4.4285714285714288</v>
      </c>
      <c r="AD9" s="356">
        <f t="shared" si="2"/>
        <v>4.4285714285714288</v>
      </c>
      <c r="AE9" s="356">
        <f t="shared" si="2"/>
        <v>4.4285714285714288</v>
      </c>
      <c r="AF9" s="356">
        <f t="shared" si="2"/>
        <v>4.4285714285714288</v>
      </c>
      <c r="AG9" s="356">
        <f t="shared" si="2"/>
        <v>4.4285714285714288</v>
      </c>
      <c r="AH9" s="356">
        <f t="shared" si="2"/>
        <v>4.4285714285714288</v>
      </c>
      <c r="AI9" s="356">
        <f t="shared" si="2"/>
        <v>4.4285714285714288</v>
      </c>
      <c r="AJ9" s="356">
        <f t="shared" si="2"/>
        <v>4.4285714285714288</v>
      </c>
      <c r="AK9" s="356">
        <f t="shared" si="2"/>
        <v>4.4285714285714288</v>
      </c>
      <c r="AL9" s="356">
        <f t="shared" si="2"/>
        <v>4.4285714285714288</v>
      </c>
      <c r="AM9" s="356">
        <f t="shared" si="2"/>
        <v>4.4285714285714288</v>
      </c>
      <c r="AN9" s="356">
        <f t="shared" si="2"/>
        <v>4.4285714285714288</v>
      </c>
      <c r="AO9" s="356">
        <f t="shared" si="2"/>
        <v>4.4285714285714288</v>
      </c>
      <c r="AP9" s="356">
        <f t="shared" si="3"/>
        <v>4.4285714285714288</v>
      </c>
      <c r="AQ9" s="356">
        <f t="shared" si="3"/>
        <v>4.4285714285714288</v>
      </c>
      <c r="AR9" s="356">
        <f t="shared" si="3"/>
        <v>4.4285714285714288</v>
      </c>
      <c r="AS9" s="356">
        <f t="shared" si="3"/>
        <v>4.4285714285714288</v>
      </c>
      <c r="AT9" s="356">
        <f t="shared" si="3"/>
        <v>4.4285714285714288</v>
      </c>
      <c r="AU9" s="356">
        <f t="shared" si="3"/>
        <v>4.4285714285714288</v>
      </c>
      <c r="AV9" s="356">
        <f t="shared" si="3"/>
        <v>4.4285714285714288</v>
      </c>
      <c r="AW9" s="356">
        <f t="shared" si="3"/>
        <v>4.4285714285714288</v>
      </c>
      <c r="AX9" s="356">
        <f t="shared" si="3"/>
        <v>4.4285714285714288</v>
      </c>
      <c r="AY9" s="356">
        <f t="shared" si="3"/>
        <v>4.4285714285714288</v>
      </c>
      <c r="AZ9" s="356">
        <f t="shared" si="3"/>
        <v>4.4285714285714288</v>
      </c>
      <c r="BA9" s="356">
        <f t="shared" si="3"/>
        <v>4.4285714285714288</v>
      </c>
      <c r="BB9" s="356">
        <f t="shared" si="3"/>
        <v>4.4285714285714288</v>
      </c>
      <c r="BC9" s="356">
        <f t="shared" si="3"/>
        <v>4.4285714285714288</v>
      </c>
      <c r="BD9" s="356">
        <f t="shared" si="3"/>
        <v>4.4285714285714288</v>
      </c>
      <c r="BE9" s="356"/>
      <c r="BF9" s="356"/>
      <c r="BH9" s="18">
        <f>IF(BI8="магнитная поверхность",BN14,IF(BI8="гладкая немагнитная поверхность",BN15,IF(BI8="кирпичная поверхность",BN16,"")))</f>
        <v>400</v>
      </c>
      <c r="BI9" s="365">
        <f>SUM(BH5:BV5)</f>
        <v>0</v>
      </c>
      <c r="BJ9">
        <f>BJ8*BH9</f>
        <v>0</v>
      </c>
    </row>
    <row r="10" spans="1:79" x14ac:dyDescent="0.25">
      <c r="A10" s="15" t="s">
        <v>461</v>
      </c>
      <c r="B10" s="346">
        <f t="shared" si="4"/>
        <v>1</v>
      </c>
      <c r="C10" s="346">
        <f t="shared" si="0"/>
        <v>0.14285714285714285</v>
      </c>
      <c r="D10" s="352">
        <f>4*B10+3*C10</f>
        <v>4.4285714285714288</v>
      </c>
      <c r="E10" s="347">
        <f t="shared" si="9"/>
        <v>1.25</v>
      </c>
      <c r="F10" s="347">
        <f>3.14*C10*2</f>
        <v>0.89714285714285713</v>
      </c>
      <c r="G10" s="354">
        <f t="shared" si="5"/>
        <v>1.1214285714285714</v>
      </c>
      <c r="H10" s="355">
        <f t="shared" si="6"/>
        <v>5.5500000000000007</v>
      </c>
      <c r="I10" s="356">
        <f t="shared" si="7"/>
        <v>5.5500000000000007</v>
      </c>
      <c r="J10" s="356">
        <f t="shared" si="7"/>
        <v>5.5500000000000007</v>
      </c>
      <c r="K10" s="356">
        <f t="shared" si="7"/>
        <v>5.5500000000000007</v>
      </c>
      <c r="L10" s="356">
        <f t="shared" si="7"/>
        <v>5.5500000000000007</v>
      </c>
      <c r="M10" s="356">
        <f t="shared" si="7"/>
        <v>5.5500000000000007</v>
      </c>
      <c r="N10" s="356">
        <f t="shared" si="7"/>
        <v>5.5500000000000007</v>
      </c>
      <c r="O10" s="356">
        <f t="shared" si="7"/>
        <v>5.5500000000000007</v>
      </c>
      <c r="P10" s="356">
        <f t="shared" si="7"/>
        <v>5.5500000000000007</v>
      </c>
      <c r="Q10" s="356">
        <f t="shared" si="7"/>
        <v>5.5500000000000007</v>
      </c>
      <c r="R10" s="356">
        <f t="shared" si="7"/>
        <v>5.5500000000000007</v>
      </c>
      <c r="S10" s="356">
        <f t="shared" si="7"/>
        <v>5.5500000000000007</v>
      </c>
      <c r="T10" s="356">
        <f t="shared" si="7"/>
        <v>5.5500000000000007</v>
      </c>
      <c r="U10" s="356">
        <f t="shared" si="7"/>
        <v>5.5500000000000007</v>
      </c>
      <c r="V10" s="356">
        <f t="shared" si="7"/>
        <v>5.5500000000000007</v>
      </c>
      <c r="W10" s="356">
        <f t="shared" si="7"/>
        <v>5.5500000000000007</v>
      </c>
      <c r="X10" s="356">
        <f t="shared" si="7"/>
        <v>5.5500000000000007</v>
      </c>
      <c r="Y10" s="356">
        <f t="shared" si="1"/>
        <v>5.5500000000000007</v>
      </c>
      <c r="Z10" s="356">
        <f t="shared" si="2"/>
        <v>5.5500000000000007</v>
      </c>
      <c r="AA10" s="356">
        <f t="shared" si="2"/>
        <v>5.5500000000000007</v>
      </c>
      <c r="AB10" s="356">
        <f t="shared" si="2"/>
        <v>5.5500000000000007</v>
      </c>
      <c r="AC10" s="356">
        <f t="shared" si="2"/>
        <v>5.5500000000000007</v>
      </c>
      <c r="AD10" s="356">
        <f t="shared" si="2"/>
        <v>5.5500000000000007</v>
      </c>
      <c r="AE10" s="356">
        <f t="shared" si="2"/>
        <v>5.5500000000000007</v>
      </c>
      <c r="AF10" s="356">
        <f t="shared" si="2"/>
        <v>5.5500000000000007</v>
      </c>
      <c r="AG10" s="356">
        <f t="shared" si="2"/>
        <v>5.5500000000000007</v>
      </c>
      <c r="AH10" s="356">
        <f t="shared" si="2"/>
        <v>5.5500000000000007</v>
      </c>
      <c r="AI10" s="356">
        <f t="shared" si="2"/>
        <v>5.5500000000000007</v>
      </c>
      <c r="AJ10" s="356">
        <f t="shared" si="2"/>
        <v>5.5500000000000007</v>
      </c>
      <c r="AK10" s="356">
        <f t="shared" si="2"/>
        <v>5.5500000000000007</v>
      </c>
      <c r="AL10" s="356">
        <f t="shared" si="2"/>
        <v>5.5500000000000007</v>
      </c>
      <c r="AM10" s="356">
        <f t="shared" si="2"/>
        <v>5.5500000000000007</v>
      </c>
      <c r="AN10" s="356">
        <f t="shared" si="2"/>
        <v>5.5500000000000007</v>
      </c>
      <c r="AO10" s="356">
        <f t="shared" si="2"/>
        <v>5.5500000000000007</v>
      </c>
      <c r="AP10" s="356">
        <f t="shared" si="3"/>
        <v>5.5500000000000007</v>
      </c>
      <c r="AQ10" s="356">
        <f t="shared" si="3"/>
        <v>5.5500000000000007</v>
      </c>
      <c r="AR10" s="356">
        <f t="shared" si="3"/>
        <v>5.5500000000000007</v>
      </c>
      <c r="AS10" s="356">
        <f t="shared" si="3"/>
        <v>5.5500000000000007</v>
      </c>
      <c r="AT10" s="356">
        <f t="shared" si="3"/>
        <v>5.5500000000000007</v>
      </c>
      <c r="AU10" s="356">
        <f t="shared" si="3"/>
        <v>5.5500000000000007</v>
      </c>
      <c r="AV10" s="356">
        <f t="shared" si="3"/>
        <v>5.5500000000000007</v>
      </c>
      <c r="AW10" s="356">
        <f t="shared" si="3"/>
        <v>5.5500000000000007</v>
      </c>
      <c r="AX10" s="356">
        <f t="shared" si="3"/>
        <v>5.5500000000000007</v>
      </c>
      <c r="AY10" s="356">
        <f t="shared" si="3"/>
        <v>5.5500000000000007</v>
      </c>
      <c r="AZ10" s="356">
        <f t="shared" si="3"/>
        <v>5.5500000000000007</v>
      </c>
      <c r="BA10" s="356">
        <f t="shared" si="3"/>
        <v>5.5500000000000007</v>
      </c>
      <c r="BB10" s="356">
        <f t="shared" si="3"/>
        <v>5.5500000000000007</v>
      </c>
      <c r="BC10" s="356">
        <f t="shared" si="3"/>
        <v>5.5500000000000007</v>
      </c>
      <c r="BD10" s="356">
        <f t="shared" si="3"/>
        <v>5.5500000000000007</v>
      </c>
      <c r="BE10" s="356"/>
      <c r="BF10" s="356"/>
      <c r="BS10" s="146"/>
      <c r="BT10" s="360"/>
      <c r="BU10" s="360"/>
      <c r="BV10" s="360"/>
    </row>
    <row r="11" spans="1:79" ht="14.45" customHeight="1" x14ac:dyDescent="0.25">
      <c r="A11" s="15" t="s">
        <v>462</v>
      </c>
      <c r="B11" s="346">
        <f t="shared" si="4"/>
        <v>1</v>
      </c>
      <c r="C11" s="346">
        <f t="shared" si="0"/>
        <v>0.14285714285714285</v>
      </c>
      <c r="D11" s="352">
        <f>6.57*B11+6*C11</f>
        <v>7.427142857142857</v>
      </c>
      <c r="E11" s="347">
        <f t="shared" si="9"/>
        <v>1.25</v>
      </c>
      <c r="F11" s="347">
        <v>0</v>
      </c>
      <c r="G11" s="354">
        <f t="shared" si="5"/>
        <v>0</v>
      </c>
      <c r="H11" s="355">
        <f t="shared" si="6"/>
        <v>7.427142857142857</v>
      </c>
      <c r="I11" s="356">
        <f t="shared" si="7"/>
        <v>7.427142857142857</v>
      </c>
      <c r="J11" s="356">
        <f t="shared" si="7"/>
        <v>7.427142857142857</v>
      </c>
      <c r="K11" s="356">
        <f t="shared" si="7"/>
        <v>7.427142857142857</v>
      </c>
      <c r="L11" s="356">
        <f t="shared" si="7"/>
        <v>7.427142857142857</v>
      </c>
      <c r="M11" s="356">
        <f t="shared" si="7"/>
        <v>7.427142857142857</v>
      </c>
      <c r="N11" s="356">
        <f t="shared" si="7"/>
        <v>7.427142857142857</v>
      </c>
      <c r="O11" s="356">
        <f t="shared" si="7"/>
        <v>7.427142857142857</v>
      </c>
      <c r="P11" s="356">
        <f t="shared" si="7"/>
        <v>7.427142857142857</v>
      </c>
      <c r="Q11" s="356">
        <f t="shared" si="7"/>
        <v>7.427142857142857</v>
      </c>
      <c r="R11" s="356">
        <f t="shared" si="7"/>
        <v>7.427142857142857</v>
      </c>
      <c r="S11" s="356">
        <f t="shared" si="7"/>
        <v>7.427142857142857</v>
      </c>
      <c r="T11" s="356">
        <f t="shared" si="7"/>
        <v>7.427142857142857</v>
      </c>
      <c r="U11" s="356">
        <f t="shared" si="7"/>
        <v>7.427142857142857</v>
      </c>
      <c r="V11" s="356">
        <f t="shared" si="7"/>
        <v>7.427142857142857</v>
      </c>
      <c r="W11" s="356">
        <f t="shared" si="7"/>
        <v>7.427142857142857</v>
      </c>
      <c r="X11" s="356">
        <f t="shared" si="7"/>
        <v>7.427142857142857</v>
      </c>
      <c r="Y11" s="356">
        <f t="shared" si="1"/>
        <v>7.427142857142857</v>
      </c>
      <c r="Z11" s="356">
        <f t="shared" si="2"/>
        <v>7.427142857142857</v>
      </c>
      <c r="AA11" s="356">
        <f t="shared" si="2"/>
        <v>7.427142857142857</v>
      </c>
      <c r="AB11" s="356">
        <f t="shared" si="2"/>
        <v>7.427142857142857</v>
      </c>
      <c r="AC11" s="356">
        <f t="shared" si="2"/>
        <v>7.427142857142857</v>
      </c>
      <c r="AD11" s="356">
        <f t="shared" si="2"/>
        <v>7.427142857142857</v>
      </c>
      <c r="AE11" s="356">
        <f t="shared" si="2"/>
        <v>7.427142857142857</v>
      </c>
      <c r="AF11" s="356">
        <f t="shared" si="2"/>
        <v>7.427142857142857</v>
      </c>
      <c r="AG11" s="356">
        <f t="shared" si="2"/>
        <v>7.427142857142857</v>
      </c>
      <c r="AH11" s="356">
        <f t="shared" si="2"/>
        <v>7.427142857142857</v>
      </c>
      <c r="AI11" s="356">
        <f t="shared" si="2"/>
        <v>7.427142857142857</v>
      </c>
      <c r="AJ11" s="356">
        <f t="shared" si="2"/>
        <v>7.427142857142857</v>
      </c>
      <c r="AK11" s="356">
        <f t="shared" si="2"/>
        <v>7.427142857142857</v>
      </c>
      <c r="AL11" s="356">
        <f t="shared" si="2"/>
        <v>7.427142857142857</v>
      </c>
      <c r="AM11" s="356">
        <f t="shared" si="2"/>
        <v>7.427142857142857</v>
      </c>
      <c r="AN11" s="356">
        <f t="shared" si="2"/>
        <v>7.427142857142857</v>
      </c>
      <c r="AO11" s="356">
        <f t="shared" si="2"/>
        <v>7.427142857142857</v>
      </c>
      <c r="AP11" s="356">
        <f t="shared" si="3"/>
        <v>7.427142857142857</v>
      </c>
      <c r="AQ11" s="356">
        <f t="shared" si="3"/>
        <v>7.427142857142857</v>
      </c>
      <c r="AR11" s="356">
        <f t="shared" si="3"/>
        <v>7.427142857142857</v>
      </c>
      <c r="AS11" s="356">
        <f t="shared" si="3"/>
        <v>7.427142857142857</v>
      </c>
      <c r="AT11" s="356">
        <f t="shared" si="3"/>
        <v>7.427142857142857</v>
      </c>
      <c r="AU11" s="356">
        <f t="shared" si="3"/>
        <v>7.427142857142857</v>
      </c>
      <c r="AV11" s="356">
        <f t="shared" si="3"/>
        <v>7.427142857142857</v>
      </c>
      <c r="AW11" s="356">
        <f t="shared" si="3"/>
        <v>7.427142857142857</v>
      </c>
      <c r="AX11" s="356">
        <f t="shared" si="3"/>
        <v>7.427142857142857</v>
      </c>
      <c r="AY11" s="356">
        <f t="shared" si="3"/>
        <v>7.427142857142857</v>
      </c>
      <c r="AZ11" s="356">
        <f t="shared" si="3"/>
        <v>7.427142857142857</v>
      </c>
      <c r="BA11" s="356">
        <f t="shared" si="3"/>
        <v>7.427142857142857</v>
      </c>
      <c r="BB11" s="356">
        <f t="shared" si="3"/>
        <v>7.427142857142857</v>
      </c>
      <c r="BC11" s="356">
        <f t="shared" si="3"/>
        <v>7.427142857142857</v>
      </c>
      <c r="BD11" s="356">
        <f t="shared" si="3"/>
        <v>7.427142857142857</v>
      </c>
      <c r="BE11" s="356"/>
      <c r="BF11" s="356"/>
      <c r="BH11" s="1234" t="s">
        <v>463</v>
      </c>
      <c r="BI11" s="1234"/>
      <c r="BJ11" s="1234"/>
      <c r="BK11" s="1234"/>
      <c r="BL11" s="1234"/>
      <c r="BM11" s="1234"/>
      <c r="BN11" s="1234"/>
      <c r="BO11" s="1234"/>
      <c r="BR11" s="227"/>
      <c r="BS11" s="366"/>
      <c r="BT11" s="367"/>
      <c r="BU11" s="367"/>
      <c r="BV11" s="360"/>
    </row>
    <row r="12" spans="1:79" x14ac:dyDescent="0.25">
      <c r="A12" s="15" t="s">
        <v>464</v>
      </c>
      <c r="B12" s="346">
        <f t="shared" si="4"/>
        <v>1</v>
      </c>
      <c r="C12" s="346">
        <f t="shared" si="0"/>
        <v>0.14285714285714285</v>
      </c>
      <c r="D12" s="352">
        <f>1.92*B12+3.5*C12</f>
        <v>2.42</v>
      </c>
      <c r="E12" s="347">
        <f t="shared" si="9"/>
        <v>1.25</v>
      </c>
      <c r="F12" s="347">
        <f>12*C12</f>
        <v>1.7142857142857142</v>
      </c>
      <c r="G12" s="354">
        <f t="shared" si="5"/>
        <v>2.1428571428571428</v>
      </c>
      <c r="H12" s="355">
        <f t="shared" si="6"/>
        <v>4.5628571428571423</v>
      </c>
      <c r="I12" s="356">
        <f t="shared" si="7"/>
        <v>4.5628571428571423</v>
      </c>
      <c r="J12" s="356">
        <f t="shared" si="7"/>
        <v>4.5628571428571423</v>
      </c>
      <c r="K12" s="356">
        <f t="shared" si="7"/>
        <v>4.5628571428571423</v>
      </c>
      <c r="L12" s="356">
        <f t="shared" si="7"/>
        <v>4.5628571428571423</v>
      </c>
      <c r="M12" s="356">
        <f t="shared" si="7"/>
        <v>4.5628571428571423</v>
      </c>
      <c r="N12" s="356">
        <f t="shared" si="7"/>
        <v>4.5628571428571423</v>
      </c>
      <c r="O12" s="356">
        <f t="shared" si="7"/>
        <v>4.5628571428571423</v>
      </c>
      <c r="P12" s="356">
        <f t="shared" si="7"/>
        <v>4.5628571428571423</v>
      </c>
      <c r="Q12" s="356">
        <f t="shared" si="7"/>
        <v>4.5628571428571423</v>
      </c>
      <c r="R12" s="356">
        <f t="shared" si="7"/>
        <v>4.5628571428571423</v>
      </c>
      <c r="S12" s="356">
        <f t="shared" si="7"/>
        <v>4.5628571428571423</v>
      </c>
      <c r="T12" s="356">
        <f t="shared" si="7"/>
        <v>4.5628571428571423</v>
      </c>
      <c r="U12" s="356">
        <f t="shared" si="7"/>
        <v>4.5628571428571423</v>
      </c>
      <c r="V12" s="356">
        <f t="shared" si="7"/>
        <v>4.5628571428571423</v>
      </c>
      <c r="W12" s="356">
        <f t="shared" si="7"/>
        <v>4.5628571428571423</v>
      </c>
      <c r="X12" s="356">
        <f t="shared" si="7"/>
        <v>4.5628571428571423</v>
      </c>
      <c r="Y12" s="356">
        <f t="shared" si="1"/>
        <v>4.5628571428571423</v>
      </c>
      <c r="Z12" s="356">
        <f t="shared" si="2"/>
        <v>4.5628571428571423</v>
      </c>
      <c r="AA12" s="356">
        <f t="shared" si="2"/>
        <v>4.5628571428571423</v>
      </c>
      <c r="AB12" s="356">
        <f t="shared" si="2"/>
        <v>4.5628571428571423</v>
      </c>
      <c r="AC12" s="356">
        <f t="shared" si="2"/>
        <v>4.5628571428571423</v>
      </c>
      <c r="AD12" s="356">
        <f t="shared" si="2"/>
        <v>4.5628571428571423</v>
      </c>
      <c r="AE12" s="356">
        <f t="shared" si="2"/>
        <v>4.5628571428571423</v>
      </c>
      <c r="AF12" s="356">
        <f t="shared" si="2"/>
        <v>4.5628571428571423</v>
      </c>
      <c r="AG12" s="356">
        <f t="shared" si="2"/>
        <v>4.5628571428571423</v>
      </c>
      <c r="AH12" s="356">
        <f t="shared" si="2"/>
        <v>4.5628571428571423</v>
      </c>
      <c r="AI12" s="356">
        <f t="shared" si="2"/>
        <v>4.5628571428571423</v>
      </c>
      <c r="AJ12" s="356">
        <f t="shared" si="2"/>
        <v>4.5628571428571423</v>
      </c>
      <c r="AK12" s="356">
        <f t="shared" si="2"/>
        <v>4.5628571428571423</v>
      </c>
      <c r="AL12" s="356">
        <f t="shared" si="2"/>
        <v>4.5628571428571423</v>
      </c>
      <c r="AM12" s="356">
        <f t="shared" si="2"/>
        <v>4.5628571428571423</v>
      </c>
      <c r="AN12" s="356">
        <f t="shared" si="2"/>
        <v>4.5628571428571423</v>
      </c>
      <c r="AO12" s="356">
        <f t="shared" si="2"/>
        <v>4.5628571428571423</v>
      </c>
      <c r="AP12" s="356">
        <f t="shared" si="3"/>
        <v>4.5628571428571423</v>
      </c>
      <c r="AQ12" s="356">
        <f t="shared" si="3"/>
        <v>4.5628571428571423</v>
      </c>
      <c r="AR12" s="356">
        <f t="shared" si="3"/>
        <v>4.5628571428571423</v>
      </c>
      <c r="AS12" s="356">
        <f t="shared" si="3"/>
        <v>4.5628571428571423</v>
      </c>
      <c r="AT12" s="356">
        <f t="shared" si="3"/>
        <v>4.5628571428571423</v>
      </c>
      <c r="AU12" s="356">
        <f t="shared" si="3"/>
        <v>4.5628571428571423</v>
      </c>
      <c r="AV12" s="356">
        <f t="shared" si="3"/>
        <v>4.5628571428571423</v>
      </c>
      <c r="AW12" s="356">
        <f t="shared" si="3"/>
        <v>4.5628571428571423</v>
      </c>
      <c r="AX12" s="356">
        <f t="shared" si="3"/>
        <v>4.5628571428571423</v>
      </c>
      <c r="AY12" s="356">
        <f t="shared" si="3"/>
        <v>4.5628571428571423</v>
      </c>
      <c r="AZ12" s="356">
        <f t="shared" si="3"/>
        <v>4.5628571428571423</v>
      </c>
      <c r="BA12" s="356">
        <f t="shared" si="3"/>
        <v>4.5628571428571423</v>
      </c>
      <c r="BB12" s="356">
        <f t="shared" si="3"/>
        <v>4.5628571428571423</v>
      </c>
      <c r="BC12" s="356">
        <f t="shared" si="3"/>
        <v>4.5628571428571423</v>
      </c>
      <c r="BD12" s="356">
        <f t="shared" si="3"/>
        <v>4.5628571428571423</v>
      </c>
      <c r="BE12" s="356"/>
      <c r="BF12" s="356"/>
      <c r="BR12" s="227"/>
      <c r="BS12" s="366"/>
      <c r="BT12" s="368"/>
      <c r="BU12" s="227"/>
    </row>
    <row r="13" spans="1:79" x14ac:dyDescent="0.25">
      <c r="A13" s="15" t="s">
        <v>465</v>
      </c>
      <c r="B13" s="346">
        <f t="shared" si="4"/>
        <v>1</v>
      </c>
      <c r="C13" s="346">
        <f t="shared" si="0"/>
        <v>0.14285714285714285</v>
      </c>
      <c r="D13" s="352">
        <f>4.42*B13+4*C13</f>
        <v>4.9914285714285711</v>
      </c>
      <c r="E13" s="347">
        <f t="shared" si="9"/>
        <v>1.25</v>
      </c>
      <c r="F13" s="347">
        <v>0</v>
      </c>
      <c r="G13" s="354">
        <f t="shared" si="5"/>
        <v>0</v>
      </c>
      <c r="H13" s="355">
        <f t="shared" si="6"/>
        <v>4.9914285714285711</v>
      </c>
      <c r="I13" s="356">
        <f t="shared" si="7"/>
        <v>4.9914285714285711</v>
      </c>
      <c r="J13" s="356">
        <f t="shared" si="7"/>
        <v>4.9914285714285711</v>
      </c>
      <c r="K13" s="356">
        <f t="shared" si="7"/>
        <v>4.9914285714285711</v>
      </c>
      <c r="L13" s="356">
        <f t="shared" si="7"/>
        <v>4.9914285714285711</v>
      </c>
      <c r="M13" s="356">
        <f t="shared" si="7"/>
        <v>4.9914285714285711</v>
      </c>
      <c r="N13" s="356">
        <f t="shared" si="7"/>
        <v>4.9914285714285711</v>
      </c>
      <c r="O13" s="356">
        <f t="shared" si="7"/>
        <v>4.9914285714285711</v>
      </c>
      <c r="P13" s="356">
        <f t="shared" si="7"/>
        <v>4.9914285714285711</v>
      </c>
      <c r="Q13" s="356">
        <f t="shared" si="7"/>
        <v>4.9914285714285711</v>
      </c>
      <c r="R13" s="356">
        <f t="shared" si="7"/>
        <v>4.9914285714285711</v>
      </c>
      <c r="S13" s="356">
        <f t="shared" si="7"/>
        <v>4.9914285714285711</v>
      </c>
      <c r="T13" s="356">
        <f t="shared" si="7"/>
        <v>4.9914285714285711</v>
      </c>
      <c r="U13" s="356">
        <f t="shared" si="7"/>
        <v>4.9914285714285711</v>
      </c>
      <c r="V13" s="356">
        <f t="shared" si="7"/>
        <v>4.9914285714285711</v>
      </c>
      <c r="W13" s="356">
        <f t="shared" si="7"/>
        <v>4.9914285714285711</v>
      </c>
      <c r="X13" s="356">
        <f t="shared" si="7"/>
        <v>4.9914285714285711</v>
      </c>
      <c r="Y13" s="356">
        <f t="shared" si="1"/>
        <v>4.9914285714285711</v>
      </c>
      <c r="Z13" s="356">
        <f t="shared" si="2"/>
        <v>4.9914285714285711</v>
      </c>
      <c r="AA13" s="356">
        <f t="shared" si="2"/>
        <v>4.9914285714285711</v>
      </c>
      <c r="AB13" s="356">
        <f t="shared" si="2"/>
        <v>4.9914285714285711</v>
      </c>
      <c r="AC13" s="356">
        <f t="shared" si="2"/>
        <v>4.9914285714285711</v>
      </c>
      <c r="AD13" s="356">
        <f t="shared" si="2"/>
        <v>4.9914285714285711</v>
      </c>
      <c r="AE13" s="356">
        <f t="shared" si="2"/>
        <v>4.9914285714285711</v>
      </c>
      <c r="AF13" s="356">
        <f t="shared" si="2"/>
        <v>4.9914285714285711</v>
      </c>
      <c r="AG13" s="356">
        <f t="shared" si="2"/>
        <v>4.9914285714285711</v>
      </c>
      <c r="AH13" s="356">
        <f t="shared" si="2"/>
        <v>4.9914285714285711</v>
      </c>
      <c r="AI13" s="356">
        <f t="shared" si="2"/>
        <v>4.9914285714285711</v>
      </c>
      <c r="AJ13" s="356">
        <f t="shared" si="2"/>
        <v>4.9914285714285711</v>
      </c>
      <c r="AK13" s="356">
        <f t="shared" si="2"/>
        <v>4.9914285714285711</v>
      </c>
      <c r="AL13" s="356">
        <f t="shared" si="2"/>
        <v>4.9914285714285711</v>
      </c>
      <c r="AM13" s="356">
        <f t="shared" si="2"/>
        <v>4.9914285714285711</v>
      </c>
      <c r="AN13" s="356">
        <f t="shared" si="2"/>
        <v>4.9914285714285711</v>
      </c>
      <c r="AO13" s="356">
        <f t="shared" si="2"/>
        <v>4.9914285714285711</v>
      </c>
      <c r="AP13" s="356">
        <f t="shared" si="3"/>
        <v>4.9914285714285711</v>
      </c>
      <c r="AQ13" s="356">
        <f t="shared" si="3"/>
        <v>4.9914285714285711</v>
      </c>
      <c r="AR13" s="356">
        <f t="shared" si="3"/>
        <v>4.9914285714285711</v>
      </c>
      <c r="AS13" s="356">
        <f t="shared" si="3"/>
        <v>4.9914285714285711</v>
      </c>
      <c r="AT13" s="356">
        <f t="shared" si="3"/>
        <v>4.9914285714285711</v>
      </c>
      <c r="AU13" s="356">
        <f t="shared" si="3"/>
        <v>4.9914285714285711</v>
      </c>
      <c r="AV13" s="356">
        <f t="shared" si="3"/>
        <v>4.9914285714285711</v>
      </c>
      <c r="AW13" s="356">
        <f t="shared" si="3"/>
        <v>4.9914285714285711</v>
      </c>
      <c r="AX13" s="356">
        <f t="shared" si="3"/>
        <v>4.9914285714285711</v>
      </c>
      <c r="AY13" s="356">
        <f t="shared" si="3"/>
        <v>4.9914285714285711</v>
      </c>
      <c r="AZ13" s="356">
        <f t="shared" si="3"/>
        <v>4.9914285714285711</v>
      </c>
      <c r="BA13" s="356">
        <f t="shared" si="3"/>
        <v>4.9914285714285711</v>
      </c>
      <c r="BB13" s="356">
        <f t="shared" si="3"/>
        <v>4.9914285714285711</v>
      </c>
      <c r="BC13" s="356">
        <f t="shared" si="3"/>
        <v>4.9914285714285711</v>
      </c>
      <c r="BD13" s="356">
        <f t="shared" si="3"/>
        <v>4.9914285714285711</v>
      </c>
      <c r="BE13" s="356"/>
      <c r="BF13" s="356"/>
      <c r="BH13" s="1246" t="s">
        <v>337</v>
      </c>
      <c r="BI13" s="1246"/>
      <c r="BJ13" s="1246"/>
      <c r="BK13" s="1246"/>
      <c r="BL13" s="1246"/>
      <c r="BM13" s="373" t="s">
        <v>3</v>
      </c>
      <c r="BN13" s="1238" t="s">
        <v>4</v>
      </c>
      <c r="BO13" s="1238"/>
      <c r="BR13" s="227"/>
      <c r="BS13" s="366"/>
      <c r="BT13" s="368"/>
      <c r="BU13" s="227"/>
    </row>
    <row r="14" spans="1:79" x14ac:dyDescent="0.25">
      <c r="A14" s="15" t="s">
        <v>466</v>
      </c>
      <c r="B14" s="346">
        <f t="shared" si="4"/>
        <v>1</v>
      </c>
      <c r="C14" s="346">
        <f t="shared" si="0"/>
        <v>0.14285714285714285</v>
      </c>
      <c r="D14" s="352">
        <f>4.42*B14+4*C14+6*C14</f>
        <v>5.8485714285714279</v>
      </c>
      <c r="E14" s="347">
        <f t="shared" si="9"/>
        <v>1.25</v>
      </c>
      <c r="F14" s="347">
        <v>0</v>
      </c>
      <c r="G14" s="354">
        <f t="shared" si="5"/>
        <v>0</v>
      </c>
      <c r="H14" s="355">
        <f t="shared" si="6"/>
        <v>5.8485714285714279</v>
      </c>
      <c r="I14" s="356">
        <f t="shared" si="7"/>
        <v>5.8485714285714279</v>
      </c>
      <c r="J14" s="356">
        <f t="shared" si="7"/>
        <v>5.8485714285714279</v>
      </c>
      <c r="K14" s="356">
        <f t="shared" si="7"/>
        <v>5.8485714285714279</v>
      </c>
      <c r="L14" s="356">
        <f t="shared" si="7"/>
        <v>5.8485714285714279</v>
      </c>
      <c r="M14" s="356">
        <f t="shared" si="7"/>
        <v>5.8485714285714279</v>
      </c>
      <c r="N14" s="356">
        <f t="shared" si="7"/>
        <v>5.8485714285714279</v>
      </c>
      <c r="O14" s="356">
        <f t="shared" si="7"/>
        <v>5.8485714285714279</v>
      </c>
      <c r="P14" s="356">
        <f t="shared" si="7"/>
        <v>5.8485714285714279</v>
      </c>
      <c r="Q14" s="356">
        <f t="shared" si="7"/>
        <v>5.8485714285714279</v>
      </c>
      <c r="R14" s="356">
        <f t="shared" si="7"/>
        <v>5.8485714285714279</v>
      </c>
      <c r="S14" s="356">
        <f t="shared" si="7"/>
        <v>5.8485714285714279</v>
      </c>
      <c r="T14" s="356">
        <f t="shared" si="7"/>
        <v>5.8485714285714279</v>
      </c>
      <c r="U14" s="356">
        <f t="shared" si="7"/>
        <v>5.8485714285714279</v>
      </c>
      <c r="V14" s="356">
        <f t="shared" si="7"/>
        <v>5.8485714285714279</v>
      </c>
      <c r="W14" s="356">
        <f t="shared" si="7"/>
        <v>5.8485714285714279</v>
      </c>
      <c r="X14" s="356">
        <f t="shared" si="7"/>
        <v>5.8485714285714279</v>
      </c>
      <c r="Y14" s="356">
        <f t="shared" si="1"/>
        <v>5.8485714285714279</v>
      </c>
      <c r="Z14" s="356">
        <f t="shared" si="2"/>
        <v>5.8485714285714279</v>
      </c>
      <c r="AA14" s="356">
        <f t="shared" si="2"/>
        <v>5.8485714285714279</v>
      </c>
      <c r="AB14" s="356">
        <f t="shared" si="2"/>
        <v>5.8485714285714279</v>
      </c>
      <c r="AC14" s="356">
        <f t="shared" si="2"/>
        <v>5.8485714285714279</v>
      </c>
      <c r="AD14" s="356">
        <f t="shared" si="2"/>
        <v>5.8485714285714279</v>
      </c>
      <c r="AE14" s="356">
        <f t="shared" si="2"/>
        <v>5.8485714285714279</v>
      </c>
      <c r="AF14" s="356">
        <f t="shared" si="2"/>
        <v>5.8485714285714279</v>
      </c>
      <c r="AG14" s="356">
        <f t="shared" si="2"/>
        <v>5.8485714285714279</v>
      </c>
      <c r="AH14" s="356">
        <f t="shared" si="2"/>
        <v>5.8485714285714279</v>
      </c>
      <c r="AI14" s="356">
        <f t="shared" si="2"/>
        <v>5.8485714285714279</v>
      </c>
      <c r="AJ14" s="356">
        <f t="shared" si="2"/>
        <v>5.8485714285714279</v>
      </c>
      <c r="AK14" s="356">
        <f t="shared" si="2"/>
        <v>5.8485714285714279</v>
      </c>
      <c r="AL14" s="356">
        <f t="shared" si="2"/>
        <v>5.8485714285714279</v>
      </c>
      <c r="AM14" s="356">
        <f t="shared" si="2"/>
        <v>5.8485714285714279</v>
      </c>
      <c r="AN14" s="356">
        <f t="shared" si="2"/>
        <v>5.8485714285714279</v>
      </c>
      <c r="AO14" s="356">
        <f t="shared" si="2"/>
        <v>5.8485714285714279</v>
      </c>
      <c r="AP14" s="356">
        <f t="shared" si="3"/>
        <v>5.8485714285714279</v>
      </c>
      <c r="AQ14" s="356">
        <f t="shared" si="3"/>
        <v>5.8485714285714279</v>
      </c>
      <c r="AR14" s="356">
        <f t="shared" si="3"/>
        <v>5.8485714285714279</v>
      </c>
      <c r="AS14" s="356">
        <f t="shared" si="3"/>
        <v>5.8485714285714279</v>
      </c>
      <c r="AT14" s="356">
        <f t="shared" si="3"/>
        <v>5.8485714285714279</v>
      </c>
      <c r="AU14" s="356">
        <f t="shared" si="3"/>
        <v>5.8485714285714279</v>
      </c>
      <c r="AV14" s="356">
        <f t="shared" si="3"/>
        <v>5.8485714285714279</v>
      </c>
      <c r="AW14" s="356">
        <f t="shared" si="3"/>
        <v>5.8485714285714279</v>
      </c>
      <c r="AX14" s="356">
        <f t="shared" si="3"/>
        <v>5.8485714285714279</v>
      </c>
      <c r="AY14" s="356">
        <f t="shared" si="3"/>
        <v>5.8485714285714279</v>
      </c>
      <c r="AZ14" s="356">
        <f t="shared" si="3"/>
        <v>5.8485714285714279</v>
      </c>
      <c r="BA14" s="356">
        <f t="shared" si="3"/>
        <v>5.8485714285714279</v>
      </c>
      <c r="BB14" s="356">
        <f t="shared" si="3"/>
        <v>5.8485714285714279</v>
      </c>
      <c r="BC14" s="356">
        <f t="shared" si="3"/>
        <v>5.8485714285714279</v>
      </c>
      <c r="BD14" s="356">
        <f t="shared" si="3"/>
        <v>5.8485714285714279</v>
      </c>
      <c r="BE14" s="356"/>
      <c r="BF14" s="356"/>
      <c r="BH14" s="1235" t="s">
        <v>492</v>
      </c>
      <c r="BI14" s="1235"/>
      <c r="BJ14" s="1235"/>
      <c r="BK14" s="1235"/>
      <c r="BL14" s="1235"/>
      <c r="BM14" s="372" t="s">
        <v>12</v>
      </c>
      <c r="BN14" s="1239">
        <f>MROUND((BX14+BX14*BZ14),10)</f>
        <v>400</v>
      </c>
      <c r="BO14" s="1239"/>
      <c r="BR14" s="227"/>
      <c r="BS14" s="366"/>
      <c r="BT14" s="368"/>
      <c r="BU14" s="227"/>
      <c r="BX14" s="1240">
        <v>300</v>
      </c>
      <c r="BY14" s="1240"/>
      <c r="BZ14" s="482">
        <f>инфляция!A2</f>
        <v>0.32590000000000002</v>
      </c>
    </row>
    <row r="15" spans="1:79" ht="27" customHeight="1" x14ac:dyDescent="0.25">
      <c r="A15" s="15" t="s">
        <v>467</v>
      </c>
      <c r="B15" s="346">
        <f t="shared" si="4"/>
        <v>1</v>
      </c>
      <c r="C15" s="346">
        <f t="shared" si="0"/>
        <v>0.14285714285714285</v>
      </c>
      <c r="D15" s="352">
        <f>4*B15+4*C15</f>
        <v>4.5714285714285712</v>
      </c>
      <c r="E15" s="347">
        <f t="shared" si="9"/>
        <v>1.25</v>
      </c>
      <c r="F15" s="347">
        <v>0</v>
      </c>
      <c r="G15" s="354">
        <f t="shared" si="5"/>
        <v>0</v>
      </c>
      <c r="H15" s="355">
        <f t="shared" si="6"/>
        <v>4.5714285714285712</v>
      </c>
      <c r="I15" s="356">
        <f t="shared" si="7"/>
        <v>4.5714285714285712</v>
      </c>
      <c r="J15" s="356">
        <f t="shared" si="7"/>
        <v>4.5714285714285712</v>
      </c>
      <c r="K15" s="356">
        <f t="shared" si="7"/>
        <v>4.5714285714285712</v>
      </c>
      <c r="L15" s="356">
        <f t="shared" si="7"/>
        <v>4.5714285714285712</v>
      </c>
      <c r="M15" s="356">
        <f t="shared" si="7"/>
        <v>4.5714285714285712</v>
      </c>
      <c r="N15" s="356">
        <f t="shared" si="7"/>
        <v>4.5714285714285712</v>
      </c>
      <c r="O15" s="356">
        <f t="shared" si="7"/>
        <v>4.5714285714285712</v>
      </c>
      <c r="P15" s="356">
        <f t="shared" si="7"/>
        <v>4.5714285714285712</v>
      </c>
      <c r="Q15" s="356">
        <f t="shared" si="7"/>
        <v>4.5714285714285712</v>
      </c>
      <c r="R15" s="356">
        <f t="shared" si="7"/>
        <v>4.5714285714285712</v>
      </c>
      <c r="S15" s="356">
        <f t="shared" si="7"/>
        <v>4.5714285714285712</v>
      </c>
      <c r="T15" s="356">
        <f t="shared" si="7"/>
        <v>4.5714285714285712</v>
      </c>
      <c r="U15" s="356">
        <f t="shared" si="7"/>
        <v>4.5714285714285712</v>
      </c>
      <c r="V15" s="356">
        <f t="shared" si="7"/>
        <v>4.5714285714285712</v>
      </c>
      <c r="W15" s="356">
        <f t="shared" si="7"/>
        <v>4.5714285714285712</v>
      </c>
      <c r="X15" s="356">
        <f t="shared" si="7"/>
        <v>4.5714285714285712</v>
      </c>
      <c r="Y15" s="356">
        <f t="shared" si="1"/>
        <v>4.5714285714285712</v>
      </c>
      <c r="Z15" s="356">
        <f t="shared" si="2"/>
        <v>4.5714285714285712</v>
      </c>
      <c r="AA15" s="356">
        <f t="shared" si="2"/>
        <v>4.5714285714285712</v>
      </c>
      <c r="AB15" s="356">
        <f t="shared" si="2"/>
        <v>4.5714285714285712</v>
      </c>
      <c r="AC15" s="356">
        <f t="shared" si="2"/>
        <v>4.5714285714285712</v>
      </c>
      <c r="AD15" s="356">
        <f t="shared" si="2"/>
        <v>4.5714285714285712</v>
      </c>
      <c r="AE15" s="356">
        <f t="shared" si="2"/>
        <v>4.5714285714285712</v>
      </c>
      <c r="AF15" s="356">
        <f t="shared" si="2"/>
        <v>4.5714285714285712</v>
      </c>
      <c r="AG15" s="356">
        <f t="shared" si="2"/>
        <v>4.5714285714285712</v>
      </c>
      <c r="AH15" s="356">
        <f t="shared" si="2"/>
        <v>4.5714285714285712</v>
      </c>
      <c r="AI15" s="356">
        <f t="shared" si="2"/>
        <v>4.5714285714285712</v>
      </c>
      <c r="AJ15" s="356">
        <f t="shared" si="2"/>
        <v>4.5714285714285712</v>
      </c>
      <c r="AK15" s="356">
        <f t="shared" si="2"/>
        <v>4.5714285714285712</v>
      </c>
      <c r="AL15" s="356">
        <f t="shared" si="2"/>
        <v>4.5714285714285712</v>
      </c>
      <c r="AM15" s="356">
        <f t="shared" si="2"/>
        <v>4.5714285714285712</v>
      </c>
      <c r="AN15" s="356">
        <f t="shared" si="2"/>
        <v>4.5714285714285712</v>
      </c>
      <c r="AO15" s="356">
        <f t="shared" si="2"/>
        <v>4.5714285714285712</v>
      </c>
      <c r="AP15" s="356">
        <f t="shared" si="3"/>
        <v>4.5714285714285712</v>
      </c>
      <c r="AQ15" s="356">
        <f t="shared" si="3"/>
        <v>4.5714285714285712</v>
      </c>
      <c r="AR15" s="356">
        <f t="shared" si="3"/>
        <v>4.5714285714285712</v>
      </c>
      <c r="AS15" s="356">
        <f t="shared" si="3"/>
        <v>4.5714285714285712</v>
      </c>
      <c r="AT15" s="356">
        <f t="shared" si="3"/>
        <v>4.5714285714285712</v>
      </c>
      <c r="AU15" s="356">
        <f t="shared" si="3"/>
        <v>4.5714285714285712</v>
      </c>
      <c r="AV15" s="356">
        <f t="shared" si="3"/>
        <v>4.5714285714285712</v>
      </c>
      <c r="AW15" s="356">
        <f t="shared" si="3"/>
        <v>4.5714285714285712</v>
      </c>
      <c r="AX15" s="356">
        <f t="shared" si="3"/>
        <v>4.5714285714285712</v>
      </c>
      <c r="AY15" s="356">
        <f t="shared" si="3"/>
        <v>4.5714285714285712</v>
      </c>
      <c r="AZ15" s="356">
        <f t="shared" si="3"/>
        <v>4.5714285714285712</v>
      </c>
      <c r="BA15" s="356">
        <f t="shared" si="3"/>
        <v>4.5714285714285712</v>
      </c>
      <c r="BB15" s="356">
        <f t="shared" si="3"/>
        <v>4.5714285714285712</v>
      </c>
      <c r="BC15" s="356">
        <f t="shared" si="3"/>
        <v>4.5714285714285712</v>
      </c>
      <c r="BD15" s="356">
        <f t="shared" si="3"/>
        <v>4.5714285714285712</v>
      </c>
      <c r="BE15" s="356"/>
      <c r="BF15" s="356"/>
      <c r="BH15" s="1236" t="s">
        <v>493</v>
      </c>
      <c r="BI15" s="1236"/>
      <c r="BJ15" s="1236"/>
      <c r="BK15" s="1236"/>
      <c r="BL15" s="1236"/>
      <c r="BM15" s="371" t="s">
        <v>12</v>
      </c>
      <c r="BN15" s="1239">
        <f t="shared" ref="BN15:BN16" si="10">MROUND((BX15+BX15*BZ15),10)</f>
        <v>440</v>
      </c>
      <c r="BO15" s="1239"/>
      <c r="BR15" s="227"/>
      <c r="BS15" s="227"/>
      <c r="BT15" s="227"/>
      <c r="BU15" s="227"/>
      <c r="BX15" s="1241">
        <v>330</v>
      </c>
      <c r="BY15" s="1241"/>
      <c r="BZ15" s="482">
        <f>BZ14</f>
        <v>0.32590000000000002</v>
      </c>
    </row>
    <row r="16" spans="1:79" x14ac:dyDescent="0.25">
      <c r="A16" s="15" t="s">
        <v>468</v>
      </c>
      <c r="B16" s="346">
        <f t="shared" si="4"/>
        <v>1</v>
      </c>
      <c r="C16" s="346">
        <f t="shared" si="0"/>
        <v>0.14285714285714285</v>
      </c>
      <c r="D16" s="352">
        <f>4*B16+2*C16</f>
        <v>4.2857142857142856</v>
      </c>
      <c r="E16" s="347">
        <f t="shared" si="9"/>
        <v>1.25</v>
      </c>
      <c r="F16" s="347">
        <f>2.5*C16</f>
        <v>0.3571428571428571</v>
      </c>
      <c r="G16" s="354">
        <f t="shared" si="5"/>
        <v>0.4464285714285714</v>
      </c>
      <c r="H16" s="355">
        <f t="shared" si="6"/>
        <v>4.7321428571428568</v>
      </c>
      <c r="I16" s="356">
        <f t="shared" si="7"/>
        <v>4.7321428571428568</v>
      </c>
      <c r="J16" s="356">
        <f t="shared" si="7"/>
        <v>4.7321428571428568</v>
      </c>
      <c r="K16" s="356">
        <f t="shared" si="7"/>
        <v>4.7321428571428568</v>
      </c>
      <c r="L16" s="356">
        <f t="shared" si="7"/>
        <v>4.7321428571428568</v>
      </c>
      <c r="M16" s="356">
        <f t="shared" si="7"/>
        <v>4.7321428571428568</v>
      </c>
      <c r="N16" s="356">
        <f t="shared" si="7"/>
        <v>4.7321428571428568</v>
      </c>
      <c r="O16" s="356">
        <f t="shared" si="7"/>
        <v>4.7321428571428568</v>
      </c>
      <c r="P16" s="356">
        <f t="shared" si="7"/>
        <v>4.7321428571428568</v>
      </c>
      <c r="Q16" s="356">
        <f t="shared" si="7"/>
        <v>4.7321428571428568</v>
      </c>
      <c r="R16" s="356">
        <f t="shared" si="7"/>
        <v>4.7321428571428568</v>
      </c>
      <c r="S16" s="356">
        <f t="shared" si="7"/>
        <v>4.7321428571428568</v>
      </c>
      <c r="T16" s="356">
        <f t="shared" si="7"/>
        <v>4.7321428571428568</v>
      </c>
      <c r="U16" s="356">
        <f t="shared" si="7"/>
        <v>4.7321428571428568</v>
      </c>
      <c r="V16" s="356">
        <f t="shared" si="7"/>
        <v>4.7321428571428568</v>
      </c>
      <c r="W16" s="356">
        <f t="shared" si="7"/>
        <v>4.7321428571428568</v>
      </c>
      <c r="X16" s="356">
        <f t="shared" si="7"/>
        <v>4.7321428571428568</v>
      </c>
      <c r="Y16" s="356">
        <f t="shared" si="1"/>
        <v>4.7321428571428568</v>
      </c>
      <c r="Z16" s="356">
        <f t="shared" si="2"/>
        <v>4.7321428571428568</v>
      </c>
      <c r="AA16" s="356">
        <f t="shared" si="2"/>
        <v>4.7321428571428568</v>
      </c>
      <c r="AB16" s="356">
        <f t="shared" si="2"/>
        <v>4.7321428571428568</v>
      </c>
      <c r="AC16" s="356">
        <f t="shared" si="2"/>
        <v>4.7321428571428568</v>
      </c>
      <c r="AD16" s="356">
        <f t="shared" si="2"/>
        <v>4.7321428571428568</v>
      </c>
      <c r="AE16" s="356">
        <f t="shared" si="2"/>
        <v>4.7321428571428568</v>
      </c>
      <c r="AF16" s="356">
        <f t="shared" si="2"/>
        <v>4.7321428571428568</v>
      </c>
      <c r="AG16" s="356">
        <f t="shared" si="2"/>
        <v>4.7321428571428568</v>
      </c>
      <c r="AH16" s="356">
        <f t="shared" si="2"/>
        <v>4.7321428571428568</v>
      </c>
      <c r="AI16" s="356">
        <f t="shared" si="2"/>
        <v>4.7321428571428568</v>
      </c>
      <c r="AJ16" s="356">
        <f t="shared" si="2"/>
        <v>4.7321428571428568</v>
      </c>
      <c r="AK16" s="356">
        <f t="shared" si="2"/>
        <v>4.7321428571428568</v>
      </c>
      <c r="AL16" s="356">
        <f t="shared" si="2"/>
        <v>4.7321428571428568</v>
      </c>
      <c r="AM16" s="356">
        <f t="shared" si="2"/>
        <v>4.7321428571428568</v>
      </c>
      <c r="AN16" s="356">
        <f t="shared" si="2"/>
        <v>4.7321428571428568</v>
      </c>
      <c r="AO16" s="356">
        <f t="shared" si="2"/>
        <v>4.7321428571428568</v>
      </c>
      <c r="AP16" s="356">
        <f t="shared" si="3"/>
        <v>4.7321428571428568</v>
      </c>
      <c r="AQ16" s="356">
        <f t="shared" si="3"/>
        <v>4.7321428571428568</v>
      </c>
      <c r="AR16" s="356">
        <f t="shared" si="3"/>
        <v>4.7321428571428568</v>
      </c>
      <c r="AS16" s="356">
        <f t="shared" si="3"/>
        <v>4.7321428571428568</v>
      </c>
      <c r="AT16" s="356">
        <f t="shared" si="3"/>
        <v>4.7321428571428568</v>
      </c>
      <c r="AU16" s="356">
        <f t="shared" si="3"/>
        <v>4.7321428571428568</v>
      </c>
      <c r="AV16" s="356">
        <f t="shared" si="3"/>
        <v>4.7321428571428568</v>
      </c>
      <c r="AW16" s="356">
        <f t="shared" si="3"/>
        <v>4.7321428571428568</v>
      </c>
      <c r="AX16" s="356">
        <f t="shared" si="3"/>
        <v>4.7321428571428568</v>
      </c>
      <c r="AY16" s="356">
        <f t="shared" si="3"/>
        <v>4.7321428571428568</v>
      </c>
      <c r="AZ16" s="356">
        <f t="shared" si="3"/>
        <v>4.7321428571428568</v>
      </c>
      <c r="BA16" s="356">
        <f t="shared" si="3"/>
        <v>4.7321428571428568</v>
      </c>
      <c r="BB16" s="356">
        <f t="shared" si="3"/>
        <v>4.7321428571428568</v>
      </c>
      <c r="BC16" s="356">
        <f t="shared" si="3"/>
        <v>4.7321428571428568</v>
      </c>
      <c r="BD16" s="356">
        <f t="shared" si="3"/>
        <v>4.7321428571428568</v>
      </c>
      <c r="BE16" s="356"/>
      <c r="BF16" s="356"/>
      <c r="BH16" s="1237" t="s">
        <v>494</v>
      </c>
      <c r="BI16" s="1237"/>
      <c r="BJ16" s="1237"/>
      <c r="BK16" s="1237"/>
      <c r="BL16" s="1237"/>
      <c r="BM16" s="370" t="s">
        <v>12</v>
      </c>
      <c r="BN16" s="1239">
        <f t="shared" si="10"/>
        <v>540</v>
      </c>
      <c r="BO16" s="1239"/>
      <c r="BX16" s="1242">
        <v>410</v>
      </c>
      <c r="BY16" s="1242"/>
      <c r="BZ16" s="482">
        <f>BZ15</f>
        <v>0.32590000000000002</v>
      </c>
    </row>
    <row r="17" spans="1:67" x14ac:dyDescent="0.25">
      <c r="A17" s="15" t="s">
        <v>469</v>
      </c>
      <c r="B17" s="346">
        <f t="shared" si="4"/>
        <v>1</v>
      </c>
      <c r="C17" s="346">
        <f t="shared" si="0"/>
        <v>0.14285714285714285</v>
      </c>
      <c r="D17" s="352">
        <f>5.28*B17+5*C17</f>
        <v>5.9942857142857147</v>
      </c>
      <c r="E17" s="347">
        <f t="shared" si="9"/>
        <v>1.25</v>
      </c>
      <c r="F17" s="347">
        <v>0</v>
      </c>
      <c r="G17" s="354">
        <f t="shared" si="5"/>
        <v>0</v>
      </c>
      <c r="H17" s="355">
        <f t="shared" si="6"/>
        <v>5.9942857142857147</v>
      </c>
      <c r="I17" s="356">
        <f t="shared" si="7"/>
        <v>5.9942857142857147</v>
      </c>
      <c r="J17" s="356">
        <f t="shared" si="7"/>
        <v>5.9942857142857147</v>
      </c>
      <c r="K17" s="356">
        <f t="shared" si="7"/>
        <v>5.9942857142857147</v>
      </c>
      <c r="L17" s="356">
        <f t="shared" si="7"/>
        <v>5.9942857142857147</v>
      </c>
      <c r="M17" s="356">
        <f t="shared" si="7"/>
        <v>5.9942857142857147</v>
      </c>
      <c r="N17" s="356">
        <f t="shared" si="7"/>
        <v>5.9942857142857147</v>
      </c>
      <c r="O17" s="356">
        <f t="shared" si="7"/>
        <v>5.9942857142857147</v>
      </c>
      <c r="P17" s="356">
        <f t="shared" si="7"/>
        <v>5.9942857142857147</v>
      </c>
      <c r="Q17" s="356">
        <f t="shared" si="7"/>
        <v>5.9942857142857147</v>
      </c>
      <c r="R17" s="356">
        <f t="shared" si="7"/>
        <v>5.9942857142857147</v>
      </c>
      <c r="S17" s="356">
        <f t="shared" si="7"/>
        <v>5.9942857142857147</v>
      </c>
      <c r="T17" s="356">
        <f t="shared" si="7"/>
        <v>5.9942857142857147</v>
      </c>
      <c r="U17" s="356">
        <f t="shared" si="7"/>
        <v>5.9942857142857147</v>
      </c>
      <c r="V17" s="356">
        <f t="shared" si="7"/>
        <v>5.9942857142857147</v>
      </c>
      <c r="W17" s="356">
        <f t="shared" si="7"/>
        <v>5.9942857142857147</v>
      </c>
      <c r="X17" s="356">
        <f t="shared" si="7"/>
        <v>5.9942857142857147</v>
      </c>
      <c r="Y17" s="356">
        <f t="shared" si="1"/>
        <v>5.9942857142857147</v>
      </c>
      <c r="Z17" s="356">
        <f t="shared" si="2"/>
        <v>5.9942857142857147</v>
      </c>
      <c r="AA17" s="356">
        <f t="shared" si="2"/>
        <v>5.9942857142857147</v>
      </c>
      <c r="AB17" s="356">
        <f t="shared" si="2"/>
        <v>5.9942857142857147</v>
      </c>
      <c r="AC17" s="356">
        <f t="shared" si="2"/>
        <v>5.9942857142857147</v>
      </c>
      <c r="AD17" s="356">
        <f t="shared" si="2"/>
        <v>5.9942857142857147</v>
      </c>
      <c r="AE17" s="356">
        <f t="shared" si="2"/>
        <v>5.9942857142857147</v>
      </c>
      <c r="AF17" s="356">
        <f t="shared" si="2"/>
        <v>5.9942857142857147</v>
      </c>
      <c r="AG17" s="356">
        <f t="shared" si="2"/>
        <v>5.9942857142857147</v>
      </c>
      <c r="AH17" s="356">
        <f t="shared" si="2"/>
        <v>5.9942857142857147</v>
      </c>
      <c r="AI17" s="356">
        <f t="shared" si="2"/>
        <v>5.9942857142857147</v>
      </c>
      <c r="AJ17" s="356">
        <f t="shared" si="2"/>
        <v>5.9942857142857147</v>
      </c>
      <c r="AK17" s="356">
        <f t="shared" si="2"/>
        <v>5.9942857142857147</v>
      </c>
      <c r="AL17" s="356">
        <f t="shared" si="2"/>
        <v>5.9942857142857147</v>
      </c>
      <c r="AM17" s="356">
        <f t="shared" si="2"/>
        <v>5.9942857142857147</v>
      </c>
      <c r="AN17" s="356">
        <f t="shared" si="2"/>
        <v>5.9942857142857147</v>
      </c>
      <c r="AO17" s="356">
        <f t="shared" si="2"/>
        <v>5.9942857142857147</v>
      </c>
      <c r="AP17" s="356">
        <f t="shared" si="3"/>
        <v>5.9942857142857147</v>
      </c>
      <c r="AQ17" s="356">
        <f t="shared" si="3"/>
        <v>5.9942857142857147</v>
      </c>
      <c r="AR17" s="356">
        <f t="shared" si="3"/>
        <v>5.9942857142857147</v>
      </c>
      <c r="AS17" s="356">
        <f t="shared" si="3"/>
        <v>5.9942857142857147</v>
      </c>
      <c r="AT17" s="356">
        <f t="shared" si="3"/>
        <v>5.9942857142857147</v>
      </c>
      <c r="AU17" s="356">
        <f t="shared" si="3"/>
        <v>5.9942857142857147</v>
      </c>
      <c r="AV17" s="356">
        <f t="shared" si="3"/>
        <v>5.9942857142857147</v>
      </c>
      <c r="AW17" s="356">
        <f t="shared" si="3"/>
        <v>5.9942857142857147</v>
      </c>
      <c r="AX17" s="356">
        <f t="shared" si="3"/>
        <v>5.9942857142857147</v>
      </c>
      <c r="AY17" s="356">
        <f t="shared" si="3"/>
        <v>5.9942857142857147</v>
      </c>
      <c r="AZ17" s="356">
        <f t="shared" si="3"/>
        <v>5.9942857142857147</v>
      </c>
      <c r="BA17" s="356">
        <f t="shared" si="3"/>
        <v>5.9942857142857147</v>
      </c>
      <c r="BB17" s="356">
        <f t="shared" si="3"/>
        <v>5.9942857142857147</v>
      </c>
      <c r="BC17" s="356">
        <f t="shared" si="3"/>
        <v>5.9942857142857147</v>
      </c>
      <c r="BD17" s="356">
        <f t="shared" si="3"/>
        <v>5.9942857142857147</v>
      </c>
      <c r="BE17" s="356"/>
      <c r="BF17" s="356"/>
    </row>
    <row r="18" spans="1:67" ht="51.6" customHeight="1" x14ac:dyDescent="0.25">
      <c r="A18" s="15" t="s">
        <v>470</v>
      </c>
      <c r="B18" s="346">
        <f t="shared" si="4"/>
        <v>1</v>
      </c>
      <c r="C18" s="346">
        <f t="shared" si="0"/>
        <v>0.14285714285714285</v>
      </c>
      <c r="D18" s="352">
        <f>4.28*B18+4*C18</f>
        <v>4.8514285714285714</v>
      </c>
      <c r="E18" s="347">
        <f t="shared" si="9"/>
        <v>1.25</v>
      </c>
      <c r="F18" s="347">
        <v>0</v>
      </c>
      <c r="G18" s="354">
        <f t="shared" si="5"/>
        <v>0</v>
      </c>
      <c r="H18" s="355">
        <f t="shared" si="6"/>
        <v>4.8514285714285714</v>
      </c>
      <c r="I18" s="356">
        <f t="shared" si="7"/>
        <v>4.8514285714285714</v>
      </c>
      <c r="J18" s="356">
        <f t="shared" si="7"/>
        <v>4.8514285714285714</v>
      </c>
      <c r="K18" s="356">
        <f t="shared" si="7"/>
        <v>4.8514285714285714</v>
      </c>
      <c r="L18" s="356">
        <f t="shared" si="7"/>
        <v>4.8514285714285714</v>
      </c>
      <c r="M18" s="356">
        <f t="shared" si="7"/>
        <v>4.8514285714285714</v>
      </c>
      <c r="N18" s="356">
        <f t="shared" si="7"/>
        <v>4.8514285714285714</v>
      </c>
      <c r="O18" s="356">
        <f t="shared" si="7"/>
        <v>4.8514285714285714</v>
      </c>
      <c r="P18" s="356">
        <f t="shared" si="7"/>
        <v>4.8514285714285714</v>
      </c>
      <c r="Q18" s="356">
        <f t="shared" si="7"/>
        <v>4.8514285714285714</v>
      </c>
      <c r="R18" s="356">
        <f t="shared" si="7"/>
        <v>4.8514285714285714</v>
      </c>
      <c r="S18" s="356">
        <f t="shared" si="7"/>
        <v>4.8514285714285714</v>
      </c>
      <c r="T18" s="356">
        <f t="shared" si="7"/>
        <v>4.8514285714285714</v>
      </c>
      <c r="U18" s="356">
        <f t="shared" si="7"/>
        <v>4.8514285714285714</v>
      </c>
      <c r="V18" s="356">
        <f t="shared" si="7"/>
        <v>4.8514285714285714</v>
      </c>
      <c r="W18" s="356">
        <f t="shared" si="7"/>
        <v>4.8514285714285714</v>
      </c>
      <c r="X18" s="356">
        <f t="shared" si="7"/>
        <v>4.8514285714285714</v>
      </c>
      <c r="Y18" s="356">
        <f t="shared" si="1"/>
        <v>4.8514285714285714</v>
      </c>
      <c r="Z18" s="356">
        <f t="shared" si="2"/>
        <v>4.8514285714285714</v>
      </c>
      <c r="AA18" s="356">
        <f t="shared" si="2"/>
        <v>4.8514285714285714</v>
      </c>
      <c r="AB18" s="356">
        <f t="shared" si="2"/>
        <v>4.8514285714285714</v>
      </c>
      <c r="AC18" s="356">
        <f t="shared" si="2"/>
        <v>4.8514285714285714</v>
      </c>
      <c r="AD18" s="356">
        <f t="shared" si="2"/>
        <v>4.8514285714285714</v>
      </c>
      <c r="AE18" s="356">
        <f t="shared" si="2"/>
        <v>4.8514285714285714</v>
      </c>
      <c r="AF18" s="356">
        <f t="shared" si="2"/>
        <v>4.8514285714285714</v>
      </c>
      <c r="AG18" s="356">
        <f t="shared" si="2"/>
        <v>4.8514285714285714</v>
      </c>
      <c r="AH18" s="356">
        <f t="shared" si="2"/>
        <v>4.8514285714285714</v>
      </c>
      <c r="AI18" s="356">
        <f t="shared" si="2"/>
        <v>4.8514285714285714</v>
      </c>
      <c r="AJ18" s="356">
        <f t="shared" si="2"/>
        <v>4.8514285714285714</v>
      </c>
      <c r="AK18" s="356">
        <f t="shared" si="2"/>
        <v>4.8514285714285714</v>
      </c>
      <c r="AL18" s="356">
        <f t="shared" si="2"/>
        <v>4.8514285714285714</v>
      </c>
      <c r="AM18" s="356">
        <f t="shared" si="2"/>
        <v>4.8514285714285714</v>
      </c>
      <c r="AN18" s="356">
        <f t="shared" si="2"/>
        <v>4.8514285714285714</v>
      </c>
      <c r="AO18" s="356">
        <f t="shared" si="2"/>
        <v>4.8514285714285714</v>
      </c>
      <c r="AP18" s="356">
        <f t="shared" si="3"/>
        <v>4.8514285714285714</v>
      </c>
      <c r="AQ18" s="356">
        <f t="shared" si="3"/>
        <v>4.8514285714285714</v>
      </c>
      <c r="AR18" s="356">
        <f t="shared" si="3"/>
        <v>4.8514285714285714</v>
      </c>
      <c r="AS18" s="356">
        <f t="shared" si="3"/>
        <v>4.8514285714285714</v>
      </c>
      <c r="AT18" s="356">
        <f t="shared" si="3"/>
        <v>4.8514285714285714</v>
      </c>
      <c r="AU18" s="356">
        <f t="shared" si="3"/>
        <v>4.8514285714285714</v>
      </c>
      <c r="AV18" s="356">
        <f t="shared" si="3"/>
        <v>4.8514285714285714</v>
      </c>
      <c r="AW18" s="356">
        <f t="shared" si="3"/>
        <v>4.8514285714285714</v>
      </c>
      <c r="AX18" s="356">
        <f t="shared" si="3"/>
        <v>4.8514285714285714</v>
      </c>
      <c r="AY18" s="356">
        <f t="shared" si="3"/>
        <v>4.8514285714285714</v>
      </c>
      <c r="AZ18" s="356">
        <f t="shared" si="3"/>
        <v>4.8514285714285714</v>
      </c>
      <c r="BA18" s="356">
        <f t="shared" si="3"/>
        <v>4.8514285714285714</v>
      </c>
      <c r="BB18" s="356">
        <f t="shared" si="3"/>
        <v>4.8514285714285714</v>
      </c>
      <c r="BC18" s="356">
        <f t="shared" si="3"/>
        <v>4.8514285714285714</v>
      </c>
      <c r="BD18" s="356">
        <f t="shared" si="3"/>
        <v>4.8514285714285714</v>
      </c>
      <c r="BE18" s="356"/>
      <c r="BF18" s="356"/>
      <c r="BG18"/>
      <c r="BH18" s="1230" t="s">
        <v>495</v>
      </c>
      <c r="BI18" s="1231"/>
      <c r="BJ18" s="1231"/>
      <c r="BK18" s="1231"/>
      <c r="BL18" s="1231"/>
      <c r="BM18" s="1231"/>
      <c r="BN18" s="1231"/>
      <c r="BO18" s="1232"/>
    </row>
    <row r="19" spans="1:67" ht="34.15" customHeight="1" x14ac:dyDescent="0.25">
      <c r="A19" s="15" t="s">
        <v>471</v>
      </c>
      <c r="B19" s="346">
        <f t="shared" si="4"/>
        <v>1</v>
      </c>
      <c r="C19" s="346">
        <f t="shared" si="0"/>
        <v>0.14285714285714285</v>
      </c>
      <c r="D19" s="352">
        <f>3.14*B19</f>
        <v>3.14</v>
      </c>
      <c r="E19" s="347">
        <f t="shared" si="9"/>
        <v>1.25</v>
      </c>
      <c r="F19" s="347">
        <f>8*C19</f>
        <v>1.1428571428571428</v>
      </c>
      <c r="G19" s="354">
        <f t="shared" si="5"/>
        <v>1.4285714285714284</v>
      </c>
      <c r="H19" s="355">
        <f t="shared" si="6"/>
        <v>4.5685714285714285</v>
      </c>
      <c r="I19" s="356">
        <f t="shared" si="7"/>
        <v>4.5685714285714285</v>
      </c>
      <c r="J19" s="356">
        <f t="shared" si="7"/>
        <v>4.5685714285714285</v>
      </c>
      <c r="K19" s="356">
        <f t="shared" si="7"/>
        <v>4.5685714285714285</v>
      </c>
      <c r="L19" s="356">
        <f t="shared" si="7"/>
        <v>4.5685714285714285</v>
      </c>
      <c r="M19" s="356">
        <f t="shared" si="7"/>
        <v>4.5685714285714285</v>
      </c>
      <c r="N19" s="356">
        <f t="shared" si="7"/>
        <v>4.5685714285714285</v>
      </c>
      <c r="O19" s="356">
        <f t="shared" si="7"/>
        <v>4.5685714285714285</v>
      </c>
      <c r="P19" s="356">
        <f t="shared" si="7"/>
        <v>4.5685714285714285</v>
      </c>
      <c r="Q19" s="356">
        <f t="shared" si="7"/>
        <v>4.5685714285714285</v>
      </c>
      <c r="R19" s="356">
        <f t="shared" si="7"/>
        <v>4.5685714285714285</v>
      </c>
      <c r="S19" s="356">
        <f t="shared" si="7"/>
        <v>4.5685714285714285</v>
      </c>
      <c r="T19" s="356">
        <f t="shared" si="7"/>
        <v>4.5685714285714285</v>
      </c>
      <c r="U19" s="356">
        <f t="shared" si="7"/>
        <v>4.5685714285714285</v>
      </c>
      <c r="V19" s="356">
        <f t="shared" si="7"/>
        <v>4.5685714285714285</v>
      </c>
      <c r="W19" s="356">
        <f t="shared" si="7"/>
        <v>4.5685714285714285</v>
      </c>
      <c r="X19" s="356">
        <f t="shared" si="7"/>
        <v>4.5685714285714285</v>
      </c>
      <c r="Y19" s="356">
        <f t="shared" si="1"/>
        <v>4.5685714285714285</v>
      </c>
      <c r="Z19" s="356">
        <f t="shared" si="2"/>
        <v>4.5685714285714285</v>
      </c>
      <c r="AA19" s="356">
        <f t="shared" si="2"/>
        <v>4.5685714285714285</v>
      </c>
      <c r="AB19" s="356">
        <f t="shared" si="2"/>
        <v>4.5685714285714285</v>
      </c>
      <c r="AC19" s="356">
        <f t="shared" si="2"/>
        <v>4.5685714285714285</v>
      </c>
      <c r="AD19" s="356">
        <f t="shared" si="2"/>
        <v>4.5685714285714285</v>
      </c>
      <c r="AE19" s="356">
        <f t="shared" si="2"/>
        <v>4.5685714285714285</v>
      </c>
      <c r="AF19" s="356">
        <f t="shared" si="2"/>
        <v>4.5685714285714285</v>
      </c>
      <c r="AG19" s="356">
        <f t="shared" si="2"/>
        <v>4.5685714285714285</v>
      </c>
      <c r="AH19" s="356">
        <f t="shared" si="2"/>
        <v>4.5685714285714285</v>
      </c>
      <c r="AI19" s="356">
        <f t="shared" si="2"/>
        <v>4.5685714285714285</v>
      </c>
      <c r="AJ19" s="356">
        <f t="shared" si="2"/>
        <v>4.5685714285714285</v>
      </c>
      <c r="AK19" s="356">
        <f t="shared" si="2"/>
        <v>4.5685714285714285</v>
      </c>
      <c r="AL19" s="356">
        <f t="shared" si="2"/>
        <v>4.5685714285714285</v>
      </c>
      <c r="AM19" s="356">
        <f t="shared" si="2"/>
        <v>4.5685714285714285</v>
      </c>
      <c r="AN19" s="356">
        <f t="shared" si="2"/>
        <v>4.5685714285714285</v>
      </c>
      <c r="AO19" s="356">
        <f t="shared" ref="AO19:BD34" si="11">AN19</f>
        <v>4.5685714285714285</v>
      </c>
      <c r="AP19" s="356">
        <f t="shared" si="11"/>
        <v>4.5685714285714285</v>
      </c>
      <c r="AQ19" s="356">
        <f t="shared" si="11"/>
        <v>4.5685714285714285</v>
      </c>
      <c r="AR19" s="356">
        <f t="shared" si="11"/>
        <v>4.5685714285714285</v>
      </c>
      <c r="AS19" s="356">
        <f t="shared" si="11"/>
        <v>4.5685714285714285</v>
      </c>
      <c r="AT19" s="356">
        <f t="shared" si="11"/>
        <v>4.5685714285714285</v>
      </c>
      <c r="AU19" s="356">
        <f t="shared" si="11"/>
        <v>4.5685714285714285</v>
      </c>
      <c r="AV19" s="356">
        <f t="shared" si="11"/>
        <v>4.5685714285714285</v>
      </c>
      <c r="AW19" s="356">
        <f t="shared" si="11"/>
        <v>4.5685714285714285</v>
      </c>
      <c r="AX19" s="356">
        <f t="shared" si="11"/>
        <v>4.5685714285714285</v>
      </c>
      <c r="AY19" s="356">
        <f t="shared" si="11"/>
        <v>4.5685714285714285</v>
      </c>
      <c r="AZ19" s="356">
        <f t="shared" si="11"/>
        <v>4.5685714285714285</v>
      </c>
      <c r="BA19" s="356">
        <f t="shared" si="11"/>
        <v>4.5685714285714285</v>
      </c>
      <c r="BB19" s="356">
        <f t="shared" si="11"/>
        <v>4.5685714285714285</v>
      </c>
      <c r="BC19" s="356">
        <f t="shared" si="11"/>
        <v>4.5685714285714285</v>
      </c>
      <c r="BD19" s="356">
        <f t="shared" si="11"/>
        <v>4.5685714285714285</v>
      </c>
      <c r="BE19" s="356"/>
      <c r="BF19" s="356"/>
      <c r="BG19"/>
      <c r="BH19" s="1233" t="s">
        <v>496</v>
      </c>
      <c r="BI19" s="1233"/>
      <c r="BJ19" s="1233"/>
      <c r="BK19" s="1233"/>
      <c r="BL19" s="1233"/>
      <c r="BM19" s="1233"/>
      <c r="BN19" s="1233"/>
      <c r="BO19" s="1233"/>
    </row>
    <row r="20" spans="1:67" x14ac:dyDescent="0.25">
      <c r="A20" s="15" t="s">
        <v>472</v>
      </c>
      <c r="B20" s="346">
        <f t="shared" si="4"/>
        <v>1</v>
      </c>
      <c r="C20" s="346">
        <f t="shared" si="0"/>
        <v>0.14285714285714285</v>
      </c>
      <c r="D20" s="352">
        <f>4.57*B20+2*C20</f>
        <v>4.8557142857142859</v>
      </c>
      <c r="E20" s="347">
        <f t="shared" si="9"/>
        <v>1.25</v>
      </c>
      <c r="F20" s="347">
        <v>0</v>
      </c>
      <c r="G20" s="354">
        <f t="shared" si="5"/>
        <v>0</v>
      </c>
      <c r="H20" s="355">
        <f t="shared" si="6"/>
        <v>4.8557142857142859</v>
      </c>
      <c r="I20" s="356">
        <f t="shared" si="7"/>
        <v>4.8557142857142859</v>
      </c>
      <c r="J20" s="356">
        <f t="shared" si="7"/>
        <v>4.8557142857142859</v>
      </c>
      <c r="K20" s="356">
        <f t="shared" si="7"/>
        <v>4.8557142857142859</v>
      </c>
      <c r="L20" s="356">
        <f t="shared" si="7"/>
        <v>4.8557142857142859</v>
      </c>
      <c r="M20" s="356">
        <f t="shared" si="7"/>
        <v>4.8557142857142859</v>
      </c>
      <c r="N20" s="356">
        <f t="shared" si="7"/>
        <v>4.8557142857142859</v>
      </c>
      <c r="O20" s="356">
        <f t="shared" si="7"/>
        <v>4.8557142857142859</v>
      </c>
      <c r="P20" s="356">
        <f t="shared" si="7"/>
        <v>4.8557142857142859</v>
      </c>
      <c r="Q20" s="356">
        <f t="shared" si="7"/>
        <v>4.8557142857142859</v>
      </c>
      <c r="R20" s="356">
        <f t="shared" si="7"/>
        <v>4.8557142857142859</v>
      </c>
      <c r="S20" s="356">
        <f t="shared" si="7"/>
        <v>4.8557142857142859</v>
      </c>
      <c r="T20" s="356">
        <f t="shared" si="7"/>
        <v>4.8557142857142859</v>
      </c>
      <c r="U20" s="356">
        <f t="shared" si="7"/>
        <v>4.8557142857142859</v>
      </c>
      <c r="V20" s="356">
        <f t="shared" si="7"/>
        <v>4.8557142857142859</v>
      </c>
      <c r="W20" s="356">
        <f t="shared" si="7"/>
        <v>4.8557142857142859</v>
      </c>
      <c r="X20" s="356">
        <f t="shared" ref="X20:AM35" si="12">W20</f>
        <v>4.8557142857142859</v>
      </c>
      <c r="Y20" s="356">
        <f t="shared" si="12"/>
        <v>4.8557142857142859</v>
      </c>
      <c r="Z20" s="356">
        <f t="shared" si="12"/>
        <v>4.8557142857142859</v>
      </c>
      <c r="AA20" s="356">
        <f t="shared" si="12"/>
        <v>4.8557142857142859</v>
      </c>
      <c r="AB20" s="356">
        <f t="shared" si="12"/>
        <v>4.8557142857142859</v>
      </c>
      <c r="AC20" s="356">
        <f t="shared" si="12"/>
        <v>4.8557142857142859</v>
      </c>
      <c r="AD20" s="356">
        <f t="shared" si="12"/>
        <v>4.8557142857142859</v>
      </c>
      <c r="AE20" s="356">
        <f t="shared" si="12"/>
        <v>4.8557142857142859</v>
      </c>
      <c r="AF20" s="356">
        <f t="shared" si="12"/>
        <v>4.8557142857142859</v>
      </c>
      <c r="AG20" s="356">
        <f t="shared" si="12"/>
        <v>4.8557142857142859</v>
      </c>
      <c r="AH20" s="356">
        <f t="shared" si="12"/>
        <v>4.8557142857142859</v>
      </c>
      <c r="AI20" s="356">
        <f t="shared" si="12"/>
        <v>4.8557142857142859</v>
      </c>
      <c r="AJ20" s="356">
        <f t="shared" si="12"/>
        <v>4.8557142857142859</v>
      </c>
      <c r="AK20" s="356">
        <f t="shared" si="12"/>
        <v>4.8557142857142859</v>
      </c>
      <c r="AL20" s="356">
        <f t="shared" si="12"/>
        <v>4.8557142857142859</v>
      </c>
      <c r="AM20" s="356">
        <f t="shared" si="12"/>
        <v>4.8557142857142859</v>
      </c>
      <c r="AN20" s="356">
        <f t="shared" ref="AN20:BC35" si="13">AM20</f>
        <v>4.8557142857142859</v>
      </c>
      <c r="AO20" s="356">
        <f t="shared" si="13"/>
        <v>4.8557142857142859</v>
      </c>
      <c r="AP20" s="356">
        <f t="shared" si="13"/>
        <v>4.8557142857142859</v>
      </c>
      <c r="AQ20" s="356">
        <f t="shared" si="13"/>
        <v>4.8557142857142859</v>
      </c>
      <c r="AR20" s="356">
        <f t="shared" si="13"/>
        <v>4.8557142857142859</v>
      </c>
      <c r="AS20" s="356">
        <f t="shared" si="13"/>
        <v>4.8557142857142859</v>
      </c>
      <c r="AT20" s="356">
        <f t="shared" si="13"/>
        <v>4.8557142857142859</v>
      </c>
      <c r="AU20" s="356">
        <f t="shared" si="13"/>
        <v>4.8557142857142859</v>
      </c>
      <c r="AV20" s="356">
        <f t="shared" si="13"/>
        <v>4.8557142857142859</v>
      </c>
      <c r="AW20" s="356">
        <f t="shared" si="13"/>
        <v>4.8557142857142859</v>
      </c>
      <c r="AX20" s="356">
        <f t="shared" si="13"/>
        <v>4.8557142857142859</v>
      </c>
      <c r="AY20" s="356">
        <f t="shared" si="13"/>
        <v>4.8557142857142859</v>
      </c>
      <c r="AZ20" s="356">
        <f t="shared" si="13"/>
        <v>4.8557142857142859</v>
      </c>
      <c r="BA20" s="356">
        <f t="shared" si="13"/>
        <v>4.8557142857142859</v>
      </c>
      <c r="BB20" s="356">
        <f t="shared" si="13"/>
        <v>4.8557142857142859</v>
      </c>
      <c r="BC20" s="356">
        <f t="shared" si="13"/>
        <v>4.8557142857142859</v>
      </c>
      <c r="BD20" s="356">
        <f t="shared" si="11"/>
        <v>4.8557142857142859</v>
      </c>
      <c r="BE20" s="356"/>
      <c r="BF20" s="356"/>
      <c r="BG20"/>
      <c r="BH20"/>
    </row>
    <row r="21" spans="1:67" ht="23.25" customHeight="1" x14ac:dyDescent="0.25">
      <c r="A21" s="15" t="s">
        <v>473</v>
      </c>
      <c r="B21" s="346">
        <f t="shared" si="4"/>
        <v>1</v>
      </c>
      <c r="C21" s="346">
        <f t="shared" si="0"/>
        <v>0.14285714285714285</v>
      </c>
      <c r="D21" s="352">
        <f>2.85*B21+C21</f>
        <v>2.9928571428571429</v>
      </c>
      <c r="E21" s="347">
        <f t="shared" si="9"/>
        <v>1.25</v>
      </c>
      <c r="F21" s="347">
        <f>4*C21</f>
        <v>0.5714285714285714</v>
      </c>
      <c r="G21" s="354">
        <f t="shared" si="5"/>
        <v>0.71428571428571419</v>
      </c>
      <c r="H21" s="355">
        <f t="shared" si="6"/>
        <v>3.7071428571428573</v>
      </c>
      <c r="I21" s="356">
        <f t="shared" ref="I21:X36" si="14">H21</f>
        <v>3.7071428571428573</v>
      </c>
      <c r="J21" s="356">
        <f t="shared" si="14"/>
        <v>3.7071428571428573</v>
      </c>
      <c r="K21" s="356">
        <f t="shared" si="14"/>
        <v>3.7071428571428573</v>
      </c>
      <c r="L21" s="356">
        <f t="shared" si="14"/>
        <v>3.7071428571428573</v>
      </c>
      <c r="M21" s="356">
        <f t="shared" si="14"/>
        <v>3.7071428571428573</v>
      </c>
      <c r="N21" s="356">
        <f t="shared" si="14"/>
        <v>3.7071428571428573</v>
      </c>
      <c r="O21" s="356">
        <f t="shared" si="14"/>
        <v>3.7071428571428573</v>
      </c>
      <c r="P21" s="356">
        <f t="shared" si="14"/>
        <v>3.7071428571428573</v>
      </c>
      <c r="Q21" s="356">
        <f t="shared" si="14"/>
        <v>3.7071428571428573</v>
      </c>
      <c r="R21" s="356">
        <f t="shared" si="14"/>
        <v>3.7071428571428573</v>
      </c>
      <c r="S21" s="356">
        <f t="shared" si="14"/>
        <v>3.7071428571428573</v>
      </c>
      <c r="T21" s="356">
        <f t="shared" si="14"/>
        <v>3.7071428571428573</v>
      </c>
      <c r="U21" s="356">
        <f t="shared" si="14"/>
        <v>3.7071428571428573</v>
      </c>
      <c r="V21" s="356">
        <f t="shared" si="14"/>
        <v>3.7071428571428573</v>
      </c>
      <c r="W21" s="356">
        <f t="shared" si="14"/>
        <v>3.7071428571428573</v>
      </c>
      <c r="X21" s="356">
        <f t="shared" si="14"/>
        <v>3.7071428571428573</v>
      </c>
      <c r="Y21" s="356">
        <f t="shared" si="12"/>
        <v>3.7071428571428573</v>
      </c>
      <c r="Z21" s="356">
        <f t="shared" si="12"/>
        <v>3.7071428571428573</v>
      </c>
      <c r="AA21" s="356">
        <f t="shared" si="12"/>
        <v>3.7071428571428573</v>
      </c>
      <c r="AB21" s="356">
        <f t="shared" si="12"/>
        <v>3.7071428571428573</v>
      </c>
      <c r="AC21" s="356">
        <f t="shared" si="12"/>
        <v>3.7071428571428573</v>
      </c>
      <c r="AD21" s="356">
        <f t="shared" si="12"/>
        <v>3.7071428571428573</v>
      </c>
      <c r="AE21" s="356">
        <f t="shared" si="12"/>
        <v>3.7071428571428573</v>
      </c>
      <c r="AF21" s="356">
        <f t="shared" si="12"/>
        <v>3.7071428571428573</v>
      </c>
      <c r="AG21" s="356">
        <f t="shared" si="12"/>
        <v>3.7071428571428573</v>
      </c>
      <c r="AH21" s="356">
        <f t="shared" si="12"/>
        <v>3.7071428571428573</v>
      </c>
      <c r="AI21" s="356">
        <f t="shared" si="12"/>
        <v>3.7071428571428573</v>
      </c>
      <c r="AJ21" s="356">
        <f t="shared" si="12"/>
        <v>3.7071428571428573</v>
      </c>
      <c r="AK21" s="356">
        <f t="shared" si="12"/>
        <v>3.7071428571428573</v>
      </c>
      <c r="AL21" s="356">
        <f t="shared" si="12"/>
        <v>3.7071428571428573</v>
      </c>
      <c r="AM21" s="356">
        <f t="shared" si="12"/>
        <v>3.7071428571428573</v>
      </c>
      <c r="AN21" s="356">
        <f t="shared" si="13"/>
        <v>3.7071428571428573</v>
      </c>
      <c r="AO21" s="356">
        <f t="shared" si="13"/>
        <v>3.7071428571428573</v>
      </c>
      <c r="AP21" s="356">
        <f t="shared" si="13"/>
        <v>3.7071428571428573</v>
      </c>
      <c r="AQ21" s="356">
        <f t="shared" si="13"/>
        <v>3.7071428571428573</v>
      </c>
      <c r="AR21" s="356">
        <f t="shared" si="13"/>
        <v>3.7071428571428573</v>
      </c>
      <c r="AS21" s="356">
        <f t="shared" si="13"/>
        <v>3.7071428571428573</v>
      </c>
      <c r="AT21" s="356">
        <f t="shared" si="13"/>
        <v>3.7071428571428573</v>
      </c>
      <c r="AU21" s="356">
        <f t="shared" si="13"/>
        <v>3.7071428571428573</v>
      </c>
      <c r="AV21" s="356">
        <f t="shared" si="13"/>
        <v>3.7071428571428573</v>
      </c>
      <c r="AW21" s="356">
        <f t="shared" si="13"/>
        <v>3.7071428571428573</v>
      </c>
      <c r="AX21" s="356">
        <f t="shared" si="13"/>
        <v>3.7071428571428573</v>
      </c>
      <c r="AY21" s="356">
        <f t="shared" si="13"/>
        <v>3.7071428571428573</v>
      </c>
      <c r="AZ21" s="356">
        <f t="shared" si="13"/>
        <v>3.7071428571428573</v>
      </c>
      <c r="BA21" s="356">
        <f t="shared" si="13"/>
        <v>3.7071428571428573</v>
      </c>
      <c r="BB21" s="356">
        <f t="shared" si="13"/>
        <v>3.7071428571428573</v>
      </c>
      <c r="BC21" s="356">
        <f t="shared" si="13"/>
        <v>3.7071428571428573</v>
      </c>
      <c r="BD21" s="356">
        <f t="shared" si="11"/>
        <v>3.7071428571428573</v>
      </c>
      <c r="BE21" s="356"/>
      <c r="BF21" s="356"/>
      <c r="BG21"/>
      <c r="BH21" s="858" t="s">
        <v>668</v>
      </c>
      <c r="BI21" s="858"/>
      <c r="BJ21" s="858"/>
      <c r="BK21" s="858"/>
      <c r="BL21" s="858"/>
      <c r="BM21" s="858"/>
      <c r="BN21" s="858"/>
      <c r="BO21" s="858"/>
    </row>
    <row r="22" spans="1:67" x14ac:dyDescent="0.25">
      <c r="A22" s="15" t="s">
        <v>474</v>
      </c>
      <c r="B22" s="346">
        <f t="shared" si="4"/>
        <v>1</v>
      </c>
      <c r="C22" s="346">
        <f t="shared" si="0"/>
        <v>0.14285714285714285</v>
      </c>
      <c r="D22" s="352">
        <f>2*B22+2*C22</f>
        <v>2.2857142857142856</v>
      </c>
      <c r="E22" s="347">
        <f t="shared" si="9"/>
        <v>1.25</v>
      </c>
      <c r="F22" s="347">
        <f>7*C22</f>
        <v>1</v>
      </c>
      <c r="G22" s="354">
        <f t="shared" si="5"/>
        <v>1.25</v>
      </c>
      <c r="H22" s="355">
        <f t="shared" si="6"/>
        <v>3.5357142857142856</v>
      </c>
      <c r="I22" s="356">
        <f t="shared" si="14"/>
        <v>3.5357142857142856</v>
      </c>
      <c r="J22" s="356">
        <f t="shared" si="14"/>
        <v>3.5357142857142856</v>
      </c>
      <c r="K22" s="356">
        <f t="shared" si="14"/>
        <v>3.5357142857142856</v>
      </c>
      <c r="L22" s="356">
        <f t="shared" si="14"/>
        <v>3.5357142857142856</v>
      </c>
      <c r="M22" s="356">
        <f t="shared" si="14"/>
        <v>3.5357142857142856</v>
      </c>
      <c r="N22" s="356">
        <f t="shared" si="14"/>
        <v>3.5357142857142856</v>
      </c>
      <c r="O22" s="356">
        <f t="shared" si="14"/>
        <v>3.5357142857142856</v>
      </c>
      <c r="P22" s="356">
        <f t="shared" si="14"/>
        <v>3.5357142857142856</v>
      </c>
      <c r="Q22" s="356">
        <f t="shared" si="14"/>
        <v>3.5357142857142856</v>
      </c>
      <c r="R22" s="356">
        <f t="shared" si="14"/>
        <v>3.5357142857142856</v>
      </c>
      <c r="S22" s="356">
        <f t="shared" si="14"/>
        <v>3.5357142857142856</v>
      </c>
      <c r="T22" s="356">
        <f t="shared" si="14"/>
        <v>3.5357142857142856</v>
      </c>
      <c r="U22" s="356">
        <f t="shared" si="14"/>
        <v>3.5357142857142856</v>
      </c>
      <c r="V22" s="356">
        <f t="shared" si="14"/>
        <v>3.5357142857142856</v>
      </c>
      <c r="W22" s="356">
        <f t="shared" si="14"/>
        <v>3.5357142857142856</v>
      </c>
      <c r="X22" s="356">
        <f t="shared" si="14"/>
        <v>3.5357142857142856</v>
      </c>
      <c r="Y22" s="356">
        <f t="shared" si="12"/>
        <v>3.5357142857142856</v>
      </c>
      <c r="Z22" s="356">
        <f t="shared" si="12"/>
        <v>3.5357142857142856</v>
      </c>
      <c r="AA22" s="356">
        <f t="shared" si="12"/>
        <v>3.5357142857142856</v>
      </c>
      <c r="AB22" s="356">
        <f t="shared" si="12"/>
        <v>3.5357142857142856</v>
      </c>
      <c r="AC22" s="356">
        <f t="shared" si="12"/>
        <v>3.5357142857142856</v>
      </c>
      <c r="AD22" s="356">
        <f t="shared" si="12"/>
        <v>3.5357142857142856</v>
      </c>
      <c r="AE22" s="356">
        <f t="shared" si="12"/>
        <v>3.5357142857142856</v>
      </c>
      <c r="AF22" s="356">
        <f t="shared" si="12"/>
        <v>3.5357142857142856</v>
      </c>
      <c r="AG22" s="356">
        <f t="shared" si="12"/>
        <v>3.5357142857142856</v>
      </c>
      <c r="AH22" s="356">
        <f t="shared" si="12"/>
        <v>3.5357142857142856</v>
      </c>
      <c r="AI22" s="356">
        <f t="shared" si="12"/>
        <v>3.5357142857142856</v>
      </c>
      <c r="AJ22" s="356">
        <f t="shared" si="12"/>
        <v>3.5357142857142856</v>
      </c>
      <c r="AK22" s="356">
        <f t="shared" si="12"/>
        <v>3.5357142857142856</v>
      </c>
      <c r="AL22" s="356">
        <f t="shared" si="12"/>
        <v>3.5357142857142856</v>
      </c>
      <c r="AM22" s="356">
        <f t="shared" si="12"/>
        <v>3.5357142857142856</v>
      </c>
      <c r="AN22" s="356">
        <f t="shared" si="13"/>
        <v>3.5357142857142856</v>
      </c>
      <c r="AO22" s="356">
        <f t="shared" si="13"/>
        <v>3.5357142857142856</v>
      </c>
      <c r="AP22" s="356">
        <f t="shared" si="13"/>
        <v>3.5357142857142856</v>
      </c>
      <c r="AQ22" s="356">
        <f t="shared" si="13"/>
        <v>3.5357142857142856</v>
      </c>
      <c r="AR22" s="356">
        <f t="shared" si="13"/>
        <v>3.5357142857142856</v>
      </c>
      <c r="AS22" s="356">
        <f t="shared" si="13"/>
        <v>3.5357142857142856</v>
      </c>
      <c r="AT22" s="356">
        <f t="shared" si="13"/>
        <v>3.5357142857142856</v>
      </c>
      <c r="AU22" s="356">
        <f t="shared" si="13"/>
        <v>3.5357142857142856</v>
      </c>
      <c r="AV22" s="356">
        <f t="shared" si="13"/>
        <v>3.5357142857142856</v>
      </c>
      <c r="AW22" s="356">
        <f t="shared" si="13"/>
        <v>3.5357142857142856</v>
      </c>
      <c r="AX22" s="356">
        <f t="shared" si="13"/>
        <v>3.5357142857142856</v>
      </c>
      <c r="AY22" s="356">
        <f t="shared" si="13"/>
        <v>3.5357142857142856</v>
      </c>
      <c r="AZ22" s="356">
        <f t="shared" si="13"/>
        <v>3.5357142857142856</v>
      </c>
      <c r="BA22" s="356">
        <f t="shared" si="13"/>
        <v>3.5357142857142856</v>
      </c>
      <c r="BB22" s="356">
        <f t="shared" si="13"/>
        <v>3.5357142857142856</v>
      </c>
      <c r="BC22" s="356">
        <f t="shared" si="13"/>
        <v>3.5357142857142856</v>
      </c>
      <c r="BD22" s="356">
        <f t="shared" si="11"/>
        <v>3.5357142857142856</v>
      </c>
      <c r="BE22" s="356"/>
      <c r="BF22" s="356"/>
      <c r="BG22"/>
      <c r="BH22"/>
    </row>
    <row r="23" spans="1:67" x14ac:dyDescent="0.25">
      <c r="A23" s="15" t="s">
        <v>475</v>
      </c>
      <c r="B23" s="346">
        <f t="shared" si="4"/>
        <v>1</v>
      </c>
      <c r="C23" s="346">
        <f t="shared" si="0"/>
        <v>0.14285714285714285</v>
      </c>
      <c r="D23" s="352">
        <f>2.71*B23+3*C23</f>
        <v>3.1385714285714283</v>
      </c>
      <c r="E23" s="347">
        <f t="shared" si="9"/>
        <v>1.25</v>
      </c>
      <c r="F23" s="347">
        <v>0</v>
      </c>
      <c r="G23" s="354">
        <f t="shared" si="5"/>
        <v>0</v>
      </c>
      <c r="H23" s="355">
        <f t="shared" si="6"/>
        <v>3.1385714285714283</v>
      </c>
      <c r="I23" s="356">
        <f t="shared" si="14"/>
        <v>3.1385714285714283</v>
      </c>
      <c r="J23" s="356">
        <f t="shared" si="14"/>
        <v>3.1385714285714283</v>
      </c>
      <c r="K23" s="356">
        <f t="shared" si="14"/>
        <v>3.1385714285714283</v>
      </c>
      <c r="L23" s="356">
        <f t="shared" si="14"/>
        <v>3.1385714285714283</v>
      </c>
      <c r="M23" s="356">
        <f t="shared" si="14"/>
        <v>3.1385714285714283</v>
      </c>
      <c r="N23" s="356">
        <f t="shared" si="14"/>
        <v>3.1385714285714283</v>
      </c>
      <c r="O23" s="356">
        <f t="shared" si="14"/>
        <v>3.1385714285714283</v>
      </c>
      <c r="P23" s="356">
        <f t="shared" si="14"/>
        <v>3.1385714285714283</v>
      </c>
      <c r="Q23" s="356">
        <f t="shared" si="14"/>
        <v>3.1385714285714283</v>
      </c>
      <c r="R23" s="356">
        <f t="shared" si="14"/>
        <v>3.1385714285714283</v>
      </c>
      <c r="S23" s="356">
        <f t="shared" si="14"/>
        <v>3.1385714285714283</v>
      </c>
      <c r="T23" s="356">
        <f t="shared" si="14"/>
        <v>3.1385714285714283</v>
      </c>
      <c r="U23" s="356">
        <f t="shared" si="14"/>
        <v>3.1385714285714283</v>
      </c>
      <c r="V23" s="356">
        <f t="shared" si="14"/>
        <v>3.1385714285714283</v>
      </c>
      <c r="W23" s="356">
        <f t="shared" si="14"/>
        <v>3.1385714285714283</v>
      </c>
      <c r="X23" s="356">
        <f t="shared" si="14"/>
        <v>3.1385714285714283</v>
      </c>
      <c r="Y23" s="356">
        <f t="shared" si="12"/>
        <v>3.1385714285714283</v>
      </c>
      <c r="Z23" s="356">
        <f t="shared" si="12"/>
        <v>3.1385714285714283</v>
      </c>
      <c r="AA23" s="356">
        <f t="shared" si="12"/>
        <v>3.1385714285714283</v>
      </c>
      <c r="AB23" s="356">
        <f t="shared" si="12"/>
        <v>3.1385714285714283</v>
      </c>
      <c r="AC23" s="356">
        <f t="shared" si="12"/>
        <v>3.1385714285714283</v>
      </c>
      <c r="AD23" s="356">
        <f t="shared" si="12"/>
        <v>3.1385714285714283</v>
      </c>
      <c r="AE23" s="356">
        <f t="shared" si="12"/>
        <v>3.1385714285714283</v>
      </c>
      <c r="AF23" s="356">
        <f t="shared" si="12"/>
        <v>3.1385714285714283</v>
      </c>
      <c r="AG23" s="356">
        <f t="shared" si="12"/>
        <v>3.1385714285714283</v>
      </c>
      <c r="AH23" s="356">
        <f t="shared" si="12"/>
        <v>3.1385714285714283</v>
      </c>
      <c r="AI23" s="356">
        <f t="shared" si="12"/>
        <v>3.1385714285714283</v>
      </c>
      <c r="AJ23" s="356">
        <f t="shared" si="12"/>
        <v>3.1385714285714283</v>
      </c>
      <c r="AK23" s="356">
        <f t="shared" si="12"/>
        <v>3.1385714285714283</v>
      </c>
      <c r="AL23" s="356">
        <f t="shared" si="12"/>
        <v>3.1385714285714283</v>
      </c>
      <c r="AM23" s="356">
        <f t="shared" si="12"/>
        <v>3.1385714285714283</v>
      </c>
      <c r="AN23" s="356">
        <f t="shared" si="13"/>
        <v>3.1385714285714283</v>
      </c>
      <c r="AO23" s="356">
        <f t="shared" si="13"/>
        <v>3.1385714285714283</v>
      </c>
      <c r="AP23" s="356">
        <f t="shared" si="13"/>
        <v>3.1385714285714283</v>
      </c>
      <c r="AQ23" s="356">
        <f t="shared" si="13"/>
        <v>3.1385714285714283</v>
      </c>
      <c r="AR23" s="356">
        <f t="shared" si="13"/>
        <v>3.1385714285714283</v>
      </c>
      <c r="AS23" s="356">
        <f t="shared" si="13"/>
        <v>3.1385714285714283</v>
      </c>
      <c r="AT23" s="356">
        <f t="shared" si="13"/>
        <v>3.1385714285714283</v>
      </c>
      <c r="AU23" s="356">
        <f t="shared" si="13"/>
        <v>3.1385714285714283</v>
      </c>
      <c r="AV23" s="356">
        <f t="shared" si="13"/>
        <v>3.1385714285714283</v>
      </c>
      <c r="AW23" s="356">
        <f t="shared" si="13"/>
        <v>3.1385714285714283</v>
      </c>
      <c r="AX23" s="356">
        <f t="shared" si="13"/>
        <v>3.1385714285714283</v>
      </c>
      <c r="AY23" s="356">
        <f t="shared" si="13"/>
        <v>3.1385714285714283</v>
      </c>
      <c r="AZ23" s="356">
        <f t="shared" si="13"/>
        <v>3.1385714285714283</v>
      </c>
      <c r="BA23" s="356">
        <f t="shared" si="13"/>
        <v>3.1385714285714283</v>
      </c>
      <c r="BB23" s="356">
        <f t="shared" si="13"/>
        <v>3.1385714285714283</v>
      </c>
      <c r="BC23" s="356">
        <f t="shared" si="13"/>
        <v>3.1385714285714283</v>
      </c>
      <c r="BD23" s="356">
        <f t="shared" si="11"/>
        <v>3.1385714285714283</v>
      </c>
      <c r="BE23" s="356"/>
      <c r="BF23" s="356"/>
      <c r="BG23"/>
      <c r="BH23"/>
    </row>
    <row r="24" spans="1:67" x14ac:dyDescent="0.25">
      <c r="A24" s="15" t="s">
        <v>476</v>
      </c>
      <c r="B24" s="346">
        <f t="shared" si="4"/>
        <v>1</v>
      </c>
      <c r="C24" s="346">
        <f t="shared" si="0"/>
        <v>0.14285714285714285</v>
      </c>
      <c r="D24" s="352">
        <f>3*B24+3*C24</f>
        <v>3.4285714285714284</v>
      </c>
      <c r="E24" s="347">
        <f t="shared" si="9"/>
        <v>1.25</v>
      </c>
      <c r="F24" s="347">
        <f>6*C24</f>
        <v>0.8571428571428571</v>
      </c>
      <c r="G24" s="354">
        <f t="shared" si="5"/>
        <v>1.0714285714285714</v>
      </c>
      <c r="H24" s="355">
        <f t="shared" si="6"/>
        <v>4.5</v>
      </c>
      <c r="I24" s="356">
        <f t="shared" si="14"/>
        <v>4.5</v>
      </c>
      <c r="J24" s="356">
        <f t="shared" si="14"/>
        <v>4.5</v>
      </c>
      <c r="K24" s="356">
        <f t="shared" si="14"/>
        <v>4.5</v>
      </c>
      <c r="L24" s="356">
        <f t="shared" si="14"/>
        <v>4.5</v>
      </c>
      <c r="M24" s="356">
        <f t="shared" si="14"/>
        <v>4.5</v>
      </c>
      <c r="N24" s="356">
        <f t="shared" si="14"/>
        <v>4.5</v>
      </c>
      <c r="O24" s="356">
        <f t="shared" si="14"/>
        <v>4.5</v>
      </c>
      <c r="P24" s="356">
        <f t="shared" si="14"/>
        <v>4.5</v>
      </c>
      <c r="Q24" s="356">
        <f t="shared" si="14"/>
        <v>4.5</v>
      </c>
      <c r="R24" s="356">
        <f t="shared" si="14"/>
        <v>4.5</v>
      </c>
      <c r="S24" s="356">
        <f t="shared" si="14"/>
        <v>4.5</v>
      </c>
      <c r="T24" s="356">
        <f t="shared" si="14"/>
        <v>4.5</v>
      </c>
      <c r="U24" s="356">
        <f t="shared" si="14"/>
        <v>4.5</v>
      </c>
      <c r="V24" s="356">
        <f t="shared" si="14"/>
        <v>4.5</v>
      </c>
      <c r="W24" s="356">
        <f t="shared" si="14"/>
        <v>4.5</v>
      </c>
      <c r="X24" s="356">
        <f t="shared" si="14"/>
        <v>4.5</v>
      </c>
      <c r="Y24" s="356">
        <f t="shared" si="12"/>
        <v>4.5</v>
      </c>
      <c r="Z24" s="356">
        <f t="shared" si="12"/>
        <v>4.5</v>
      </c>
      <c r="AA24" s="356">
        <f t="shared" si="12"/>
        <v>4.5</v>
      </c>
      <c r="AB24" s="356">
        <f t="shared" si="12"/>
        <v>4.5</v>
      </c>
      <c r="AC24" s="356">
        <f t="shared" si="12"/>
        <v>4.5</v>
      </c>
      <c r="AD24" s="356">
        <f t="shared" si="12"/>
        <v>4.5</v>
      </c>
      <c r="AE24" s="356">
        <f t="shared" si="12"/>
        <v>4.5</v>
      </c>
      <c r="AF24" s="356">
        <f t="shared" si="12"/>
        <v>4.5</v>
      </c>
      <c r="AG24" s="356">
        <f t="shared" si="12"/>
        <v>4.5</v>
      </c>
      <c r="AH24" s="356">
        <f t="shared" si="12"/>
        <v>4.5</v>
      </c>
      <c r="AI24" s="356">
        <f t="shared" si="12"/>
        <v>4.5</v>
      </c>
      <c r="AJ24" s="356">
        <f t="shared" si="12"/>
        <v>4.5</v>
      </c>
      <c r="AK24" s="356">
        <f t="shared" si="12"/>
        <v>4.5</v>
      </c>
      <c r="AL24" s="356">
        <f t="shared" si="12"/>
        <v>4.5</v>
      </c>
      <c r="AM24" s="356">
        <f t="shared" si="12"/>
        <v>4.5</v>
      </c>
      <c r="AN24" s="356">
        <f t="shared" si="13"/>
        <v>4.5</v>
      </c>
      <c r="AO24" s="356">
        <f t="shared" si="13"/>
        <v>4.5</v>
      </c>
      <c r="AP24" s="356">
        <f t="shared" si="13"/>
        <v>4.5</v>
      </c>
      <c r="AQ24" s="356">
        <f t="shared" si="13"/>
        <v>4.5</v>
      </c>
      <c r="AR24" s="356">
        <f t="shared" si="13"/>
        <v>4.5</v>
      </c>
      <c r="AS24" s="356">
        <f t="shared" si="13"/>
        <v>4.5</v>
      </c>
      <c r="AT24" s="356">
        <f t="shared" si="13"/>
        <v>4.5</v>
      </c>
      <c r="AU24" s="356">
        <f t="shared" si="13"/>
        <v>4.5</v>
      </c>
      <c r="AV24" s="356">
        <f t="shared" si="13"/>
        <v>4.5</v>
      </c>
      <c r="AW24" s="356">
        <f t="shared" si="13"/>
        <v>4.5</v>
      </c>
      <c r="AX24" s="356">
        <f t="shared" si="13"/>
        <v>4.5</v>
      </c>
      <c r="AY24" s="356">
        <f t="shared" si="13"/>
        <v>4.5</v>
      </c>
      <c r="AZ24" s="356">
        <f t="shared" si="13"/>
        <v>4.5</v>
      </c>
      <c r="BA24" s="356">
        <f t="shared" si="13"/>
        <v>4.5</v>
      </c>
      <c r="BB24" s="356">
        <f t="shared" si="13"/>
        <v>4.5</v>
      </c>
      <c r="BC24" s="356">
        <f t="shared" si="13"/>
        <v>4.5</v>
      </c>
      <c r="BD24" s="356">
        <f t="shared" si="11"/>
        <v>4.5</v>
      </c>
      <c r="BE24" s="356"/>
      <c r="BF24" s="356"/>
      <c r="BG24"/>
      <c r="BH24"/>
    </row>
    <row r="25" spans="1:67" x14ac:dyDescent="0.25">
      <c r="A25" s="15" t="s">
        <v>477</v>
      </c>
      <c r="B25" s="346">
        <f t="shared" si="4"/>
        <v>1</v>
      </c>
      <c r="C25" s="346">
        <f t="shared" si="0"/>
        <v>0.14285714285714285</v>
      </c>
      <c r="D25" s="352">
        <f>3.14*B25+2*C25</f>
        <v>3.4257142857142857</v>
      </c>
      <c r="E25" s="347">
        <f t="shared" si="9"/>
        <v>1.25</v>
      </c>
      <c r="F25" s="347">
        <f>8*C25</f>
        <v>1.1428571428571428</v>
      </c>
      <c r="G25" s="354">
        <f t="shared" si="5"/>
        <v>1.4285714285714284</v>
      </c>
      <c r="H25" s="355">
        <f t="shared" si="6"/>
        <v>4.8542857142857141</v>
      </c>
      <c r="I25" s="356">
        <f t="shared" si="14"/>
        <v>4.8542857142857141</v>
      </c>
      <c r="J25" s="356">
        <f t="shared" si="14"/>
        <v>4.8542857142857141</v>
      </c>
      <c r="K25" s="356">
        <f t="shared" si="14"/>
        <v>4.8542857142857141</v>
      </c>
      <c r="L25" s="356">
        <f t="shared" si="14"/>
        <v>4.8542857142857141</v>
      </c>
      <c r="M25" s="356">
        <f t="shared" si="14"/>
        <v>4.8542857142857141</v>
      </c>
      <c r="N25" s="356">
        <f t="shared" si="14"/>
        <v>4.8542857142857141</v>
      </c>
      <c r="O25" s="356">
        <f t="shared" si="14"/>
        <v>4.8542857142857141</v>
      </c>
      <c r="P25" s="356">
        <f t="shared" si="14"/>
        <v>4.8542857142857141</v>
      </c>
      <c r="Q25" s="356">
        <f t="shared" si="14"/>
        <v>4.8542857142857141</v>
      </c>
      <c r="R25" s="356">
        <f t="shared" si="14"/>
        <v>4.8542857142857141</v>
      </c>
      <c r="S25" s="356">
        <f t="shared" si="14"/>
        <v>4.8542857142857141</v>
      </c>
      <c r="T25" s="356">
        <f t="shared" si="14"/>
        <v>4.8542857142857141</v>
      </c>
      <c r="U25" s="356">
        <f t="shared" si="14"/>
        <v>4.8542857142857141</v>
      </c>
      <c r="V25" s="356">
        <f t="shared" si="14"/>
        <v>4.8542857142857141</v>
      </c>
      <c r="W25" s="356">
        <f t="shared" si="14"/>
        <v>4.8542857142857141</v>
      </c>
      <c r="X25" s="356">
        <f t="shared" si="14"/>
        <v>4.8542857142857141</v>
      </c>
      <c r="Y25" s="356">
        <f t="shared" si="12"/>
        <v>4.8542857142857141</v>
      </c>
      <c r="Z25" s="356">
        <f t="shared" si="12"/>
        <v>4.8542857142857141</v>
      </c>
      <c r="AA25" s="356">
        <f t="shared" si="12"/>
        <v>4.8542857142857141</v>
      </c>
      <c r="AB25" s="356">
        <f t="shared" si="12"/>
        <v>4.8542857142857141</v>
      </c>
      <c r="AC25" s="356">
        <f t="shared" si="12"/>
        <v>4.8542857142857141</v>
      </c>
      <c r="AD25" s="356">
        <f t="shared" si="12"/>
        <v>4.8542857142857141</v>
      </c>
      <c r="AE25" s="356">
        <f t="shared" si="12"/>
        <v>4.8542857142857141</v>
      </c>
      <c r="AF25" s="356">
        <f t="shared" si="12"/>
        <v>4.8542857142857141</v>
      </c>
      <c r="AG25" s="356">
        <f t="shared" si="12"/>
        <v>4.8542857142857141</v>
      </c>
      <c r="AH25" s="356">
        <f t="shared" si="12"/>
        <v>4.8542857142857141</v>
      </c>
      <c r="AI25" s="356">
        <f t="shared" si="12"/>
        <v>4.8542857142857141</v>
      </c>
      <c r="AJ25" s="356">
        <f t="shared" si="12"/>
        <v>4.8542857142857141</v>
      </c>
      <c r="AK25" s="356">
        <f t="shared" si="12"/>
        <v>4.8542857142857141</v>
      </c>
      <c r="AL25" s="356">
        <f t="shared" si="12"/>
        <v>4.8542857142857141</v>
      </c>
      <c r="AM25" s="356">
        <f t="shared" si="12"/>
        <v>4.8542857142857141</v>
      </c>
      <c r="AN25" s="356">
        <f t="shared" si="13"/>
        <v>4.8542857142857141</v>
      </c>
      <c r="AO25" s="356">
        <f t="shared" si="13"/>
        <v>4.8542857142857141</v>
      </c>
      <c r="AP25" s="356">
        <f t="shared" si="13"/>
        <v>4.8542857142857141</v>
      </c>
      <c r="AQ25" s="356">
        <f t="shared" si="13"/>
        <v>4.8542857142857141</v>
      </c>
      <c r="AR25" s="356">
        <f t="shared" si="13"/>
        <v>4.8542857142857141</v>
      </c>
      <c r="AS25" s="356">
        <f t="shared" si="13"/>
        <v>4.8542857142857141</v>
      </c>
      <c r="AT25" s="356">
        <f t="shared" si="13"/>
        <v>4.8542857142857141</v>
      </c>
      <c r="AU25" s="356">
        <f t="shared" si="13"/>
        <v>4.8542857142857141</v>
      </c>
      <c r="AV25" s="356">
        <f t="shared" si="13"/>
        <v>4.8542857142857141</v>
      </c>
      <c r="AW25" s="356">
        <f t="shared" si="13"/>
        <v>4.8542857142857141</v>
      </c>
      <c r="AX25" s="356">
        <f t="shared" si="13"/>
        <v>4.8542857142857141</v>
      </c>
      <c r="AY25" s="356">
        <f t="shared" si="13"/>
        <v>4.8542857142857141</v>
      </c>
      <c r="AZ25" s="356">
        <f t="shared" si="13"/>
        <v>4.8542857142857141</v>
      </c>
      <c r="BA25" s="356">
        <f t="shared" si="13"/>
        <v>4.8542857142857141</v>
      </c>
      <c r="BB25" s="356">
        <f t="shared" si="13"/>
        <v>4.8542857142857141</v>
      </c>
      <c r="BC25" s="356">
        <f t="shared" si="13"/>
        <v>4.8542857142857141</v>
      </c>
      <c r="BD25" s="356">
        <f t="shared" si="11"/>
        <v>4.8542857142857141</v>
      </c>
      <c r="BE25" s="356"/>
      <c r="BF25" s="356"/>
      <c r="BG25"/>
      <c r="BH25"/>
    </row>
    <row r="26" spans="1:67" x14ac:dyDescent="0.25">
      <c r="A26" s="15" t="s">
        <v>478</v>
      </c>
      <c r="B26" s="346">
        <f t="shared" si="4"/>
        <v>1</v>
      </c>
      <c r="C26" s="346">
        <f t="shared" si="0"/>
        <v>0.14285714285714285</v>
      </c>
      <c r="D26" s="352">
        <f>4.28*B26+4*C26</f>
        <v>4.8514285714285714</v>
      </c>
      <c r="E26" s="347">
        <f t="shared" si="9"/>
        <v>1.25</v>
      </c>
      <c r="F26" s="347">
        <v>0</v>
      </c>
      <c r="G26" s="354">
        <f t="shared" si="5"/>
        <v>0</v>
      </c>
      <c r="H26" s="355">
        <f t="shared" si="6"/>
        <v>4.8514285714285714</v>
      </c>
      <c r="I26" s="356">
        <f t="shared" si="14"/>
        <v>4.8514285714285714</v>
      </c>
      <c r="J26" s="356">
        <f t="shared" si="14"/>
        <v>4.8514285714285714</v>
      </c>
      <c r="K26" s="356">
        <f t="shared" si="14"/>
        <v>4.8514285714285714</v>
      </c>
      <c r="L26" s="356">
        <f t="shared" si="14"/>
        <v>4.8514285714285714</v>
      </c>
      <c r="M26" s="356">
        <f t="shared" si="14"/>
        <v>4.8514285714285714</v>
      </c>
      <c r="N26" s="356">
        <f t="shared" si="14"/>
        <v>4.8514285714285714</v>
      </c>
      <c r="O26" s="356">
        <f t="shared" si="14"/>
        <v>4.8514285714285714</v>
      </c>
      <c r="P26" s="356">
        <f t="shared" si="14"/>
        <v>4.8514285714285714</v>
      </c>
      <c r="Q26" s="356">
        <f t="shared" si="14"/>
        <v>4.8514285714285714</v>
      </c>
      <c r="R26" s="356">
        <f t="shared" si="14"/>
        <v>4.8514285714285714</v>
      </c>
      <c r="S26" s="356">
        <f t="shared" si="14"/>
        <v>4.8514285714285714</v>
      </c>
      <c r="T26" s="356">
        <f t="shared" si="14"/>
        <v>4.8514285714285714</v>
      </c>
      <c r="U26" s="356">
        <f t="shared" si="14"/>
        <v>4.8514285714285714</v>
      </c>
      <c r="V26" s="356">
        <f t="shared" si="14"/>
        <v>4.8514285714285714</v>
      </c>
      <c r="W26" s="356">
        <f t="shared" si="14"/>
        <v>4.8514285714285714</v>
      </c>
      <c r="X26" s="356">
        <f t="shared" si="14"/>
        <v>4.8514285714285714</v>
      </c>
      <c r="Y26" s="356">
        <f t="shared" si="12"/>
        <v>4.8514285714285714</v>
      </c>
      <c r="Z26" s="356">
        <f t="shared" si="12"/>
        <v>4.8514285714285714</v>
      </c>
      <c r="AA26" s="356">
        <f t="shared" si="12"/>
        <v>4.8514285714285714</v>
      </c>
      <c r="AB26" s="356">
        <f t="shared" si="12"/>
        <v>4.8514285714285714</v>
      </c>
      <c r="AC26" s="356">
        <f t="shared" si="12"/>
        <v>4.8514285714285714</v>
      </c>
      <c r="AD26" s="356">
        <f t="shared" si="12"/>
        <v>4.8514285714285714</v>
      </c>
      <c r="AE26" s="356">
        <f t="shared" si="12"/>
        <v>4.8514285714285714</v>
      </c>
      <c r="AF26" s="356">
        <f t="shared" si="12"/>
        <v>4.8514285714285714</v>
      </c>
      <c r="AG26" s="356">
        <f t="shared" si="12"/>
        <v>4.8514285714285714</v>
      </c>
      <c r="AH26" s="356">
        <f t="shared" si="12"/>
        <v>4.8514285714285714</v>
      </c>
      <c r="AI26" s="356">
        <f t="shared" si="12"/>
        <v>4.8514285714285714</v>
      </c>
      <c r="AJ26" s="356">
        <f t="shared" si="12"/>
        <v>4.8514285714285714</v>
      </c>
      <c r="AK26" s="356">
        <f t="shared" si="12"/>
        <v>4.8514285714285714</v>
      </c>
      <c r="AL26" s="356">
        <f t="shared" si="12"/>
        <v>4.8514285714285714</v>
      </c>
      <c r="AM26" s="356">
        <f t="shared" si="12"/>
        <v>4.8514285714285714</v>
      </c>
      <c r="AN26" s="356">
        <f t="shared" si="13"/>
        <v>4.8514285714285714</v>
      </c>
      <c r="AO26" s="356">
        <f t="shared" si="13"/>
        <v>4.8514285714285714</v>
      </c>
      <c r="AP26" s="356">
        <f t="shared" si="13"/>
        <v>4.8514285714285714</v>
      </c>
      <c r="AQ26" s="356">
        <f t="shared" si="13"/>
        <v>4.8514285714285714</v>
      </c>
      <c r="AR26" s="356">
        <f t="shared" si="13"/>
        <v>4.8514285714285714</v>
      </c>
      <c r="AS26" s="356">
        <f t="shared" si="13"/>
        <v>4.8514285714285714</v>
      </c>
      <c r="AT26" s="356">
        <f t="shared" si="13"/>
        <v>4.8514285714285714</v>
      </c>
      <c r="AU26" s="356">
        <f t="shared" si="13"/>
        <v>4.8514285714285714</v>
      </c>
      <c r="AV26" s="356">
        <f t="shared" si="13"/>
        <v>4.8514285714285714</v>
      </c>
      <c r="AW26" s="356">
        <f t="shared" si="13"/>
        <v>4.8514285714285714</v>
      </c>
      <c r="AX26" s="356">
        <f t="shared" si="13"/>
        <v>4.8514285714285714</v>
      </c>
      <c r="AY26" s="356">
        <f t="shared" si="13"/>
        <v>4.8514285714285714</v>
      </c>
      <c r="AZ26" s="356">
        <f t="shared" si="13"/>
        <v>4.8514285714285714</v>
      </c>
      <c r="BA26" s="356">
        <f t="shared" si="13"/>
        <v>4.8514285714285714</v>
      </c>
      <c r="BB26" s="356">
        <f t="shared" si="13"/>
        <v>4.8514285714285714</v>
      </c>
      <c r="BC26" s="356">
        <f t="shared" si="13"/>
        <v>4.8514285714285714</v>
      </c>
      <c r="BD26" s="356">
        <f t="shared" si="11"/>
        <v>4.8514285714285714</v>
      </c>
      <c r="BE26" s="356"/>
      <c r="BF26" s="356"/>
      <c r="BG26"/>
      <c r="BH26"/>
    </row>
    <row r="27" spans="1:67" x14ac:dyDescent="0.25">
      <c r="A27" s="15" t="s">
        <v>479</v>
      </c>
      <c r="B27" s="346">
        <f t="shared" si="4"/>
        <v>1</v>
      </c>
      <c r="C27" s="346">
        <f t="shared" si="0"/>
        <v>0.14285714285714285</v>
      </c>
      <c r="D27" s="352">
        <f>4.5*B27+3*C27</f>
        <v>4.9285714285714288</v>
      </c>
      <c r="E27" s="347">
        <f t="shared" si="9"/>
        <v>1.25</v>
      </c>
      <c r="F27" s="347">
        <v>0</v>
      </c>
      <c r="G27" s="354">
        <f t="shared" si="5"/>
        <v>0</v>
      </c>
      <c r="H27" s="355">
        <f t="shared" si="6"/>
        <v>4.9285714285714288</v>
      </c>
      <c r="I27" s="356">
        <f t="shared" si="14"/>
        <v>4.9285714285714288</v>
      </c>
      <c r="J27" s="356">
        <f t="shared" si="14"/>
        <v>4.9285714285714288</v>
      </c>
      <c r="K27" s="356">
        <f t="shared" si="14"/>
        <v>4.9285714285714288</v>
      </c>
      <c r="L27" s="356">
        <f t="shared" si="14"/>
        <v>4.9285714285714288</v>
      </c>
      <c r="M27" s="356">
        <f t="shared" si="14"/>
        <v>4.9285714285714288</v>
      </c>
      <c r="N27" s="356">
        <f t="shared" si="14"/>
        <v>4.9285714285714288</v>
      </c>
      <c r="O27" s="356">
        <f t="shared" si="14"/>
        <v>4.9285714285714288</v>
      </c>
      <c r="P27" s="356">
        <f t="shared" si="14"/>
        <v>4.9285714285714288</v>
      </c>
      <c r="Q27" s="356">
        <f t="shared" si="14"/>
        <v>4.9285714285714288</v>
      </c>
      <c r="R27" s="356">
        <f t="shared" si="14"/>
        <v>4.9285714285714288</v>
      </c>
      <c r="S27" s="356">
        <f t="shared" si="14"/>
        <v>4.9285714285714288</v>
      </c>
      <c r="T27" s="356">
        <f t="shared" si="14"/>
        <v>4.9285714285714288</v>
      </c>
      <c r="U27" s="356">
        <f t="shared" si="14"/>
        <v>4.9285714285714288</v>
      </c>
      <c r="V27" s="356">
        <f t="shared" si="14"/>
        <v>4.9285714285714288</v>
      </c>
      <c r="W27" s="356">
        <f t="shared" si="14"/>
        <v>4.9285714285714288</v>
      </c>
      <c r="X27" s="356">
        <f t="shared" si="14"/>
        <v>4.9285714285714288</v>
      </c>
      <c r="Y27" s="356">
        <f t="shared" si="12"/>
        <v>4.9285714285714288</v>
      </c>
      <c r="Z27" s="356">
        <f t="shared" si="12"/>
        <v>4.9285714285714288</v>
      </c>
      <c r="AA27" s="356">
        <f t="shared" si="12"/>
        <v>4.9285714285714288</v>
      </c>
      <c r="AB27" s="356">
        <f t="shared" si="12"/>
        <v>4.9285714285714288</v>
      </c>
      <c r="AC27" s="356">
        <f t="shared" si="12"/>
        <v>4.9285714285714288</v>
      </c>
      <c r="AD27" s="356">
        <f t="shared" si="12"/>
        <v>4.9285714285714288</v>
      </c>
      <c r="AE27" s="356">
        <f t="shared" si="12"/>
        <v>4.9285714285714288</v>
      </c>
      <c r="AF27" s="356">
        <f t="shared" si="12"/>
        <v>4.9285714285714288</v>
      </c>
      <c r="AG27" s="356">
        <f t="shared" si="12"/>
        <v>4.9285714285714288</v>
      </c>
      <c r="AH27" s="356">
        <f t="shared" si="12"/>
        <v>4.9285714285714288</v>
      </c>
      <c r="AI27" s="356">
        <f t="shared" si="12"/>
        <v>4.9285714285714288</v>
      </c>
      <c r="AJ27" s="356">
        <f t="shared" si="12"/>
        <v>4.9285714285714288</v>
      </c>
      <c r="AK27" s="356">
        <f t="shared" si="12"/>
        <v>4.9285714285714288</v>
      </c>
      <c r="AL27" s="356">
        <f t="shared" si="12"/>
        <v>4.9285714285714288</v>
      </c>
      <c r="AM27" s="356">
        <f t="shared" si="12"/>
        <v>4.9285714285714288</v>
      </c>
      <c r="AN27" s="356">
        <f t="shared" si="13"/>
        <v>4.9285714285714288</v>
      </c>
      <c r="AO27" s="356">
        <f t="shared" si="13"/>
        <v>4.9285714285714288</v>
      </c>
      <c r="AP27" s="356">
        <f t="shared" si="13"/>
        <v>4.9285714285714288</v>
      </c>
      <c r="AQ27" s="356">
        <f t="shared" si="13"/>
        <v>4.9285714285714288</v>
      </c>
      <c r="AR27" s="356">
        <f t="shared" si="13"/>
        <v>4.9285714285714288</v>
      </c>
      <c r="AS27" s="356">
        <f t="shared" si="13"/>
        <v>4.9285714285714288</v>
      </c>
      <c r="AT27" s="356">
        <f t="shared" si="13"/>
        <v>4.9285714285714288</v>
      </c>
      <c r="AU27" s="356">
        <f t="shared" si="13"/>
        <v>4.9285714285714288</v>
      </c>
      <c r="AV27" s="356">
        <f t="shared" si="13"/>
        <v>4.9285714285714288</v>
      </c>
      <c r="AW27" s="356">
        <f t="shared" si="13"/>
        <v>4.9285714285714288</v>
      </c>
      <c r="AX27" s="356">
        <f t="shared" si="13"/>
        <v>4.9285714285714288</v>
      </c>
      <c r="AY27" s="356">
        <f t="shared" si="13"/>
        <v>4.9285714285714288</v>
      </c>
      <c r="AZ27" s="356">
        <f t="shared" si="13"/>
        <v>4.9285714285714288</v>
      </c>
      <c r="BA27" s="356">
        <f t="shared" si="13"/>
        <v>4.9285714285714288</v>
      </c>
      <c r="BB27" s="356">
        <f t="shared" si="13"/>
        <v>4.9285714285714288</v>
      </c>
      <c r="BC27" s="356">
        <f t="shared" si="13"/>
        <v>4.9285714285714288</v>
      </c>
      <c r="BD27" s="356">
        <f t="shared" si="11"/>
        <v>4.9285714285714288</v>
      </c>
      <c r="BE27" s="356"/>
      <c r="BF27" s="356"/>
      <c r="BG27"/>
      <c r="BH27"/>
    </row>
    <row r="28" spans="1:67" x14ac:dyDescent="0.25">
      <c r="A28" s="15" t="s">
        <v>480</v>
      </c>
      <c r="B28" s="346">
        <f t="shared" si="4"/>
        <v>1</v>
      </c>
      <c r="C28" s="346">
        <f t="shared" si="0"/>
        <v>0.14285714285714285</v>
      </c>
      <c r="D28" s="352">
        <f>3*B28+3*C28</f>
        <v>3.4285714285714284</v>
      </c>
      <c r="E28" s="347">
        <f t="shared" si="9"/>
        <v>1.25</v>
      </c>
      <c r="F28" s="347">
        <f>2*C28</f>
        <v>0.2857142857142857</v>
      </c>
      <c r="G28" s="354">
        <f t="shared" si="5"/>
        <v>0.3571428571428571</v>
      </c>
      <c r="H28" s="355">
        <f t="shared" si="6"/>
        <v>3.7857142857142856</v>
      </c>
      <c r="I28" s="356">
        <f t="shared" si="14"/>
        <v>3.7857142857142856</v>
      </c>
      <c r="J28" s="356">
        <f t="shared" si="14"/>
        <v>3.7857142857142856</v>
      </c>
      <c r="K28" s="356">
        <f t="shared" si="14"/>
        <v>3.7857142857142856</v>
      </c>
      <c r="L28" s="356">
        <f t="shared" si="14"/>
        <v>3.7857142857142856</v>
      </c>
      <c r="M28" s="356">
        <f t="shared" si="14"/>
        <v>3.7857142857142856</v>
      </c>
      <c r="N28" s="356">
        <f t="shared" si="14"/>
        <v>3.7857142857142856</v>
      </c>
      <c r="O28" s="356">
        <f t="shared" si="14"/>
        <v>3.7857142857142856</v>
      </c>
      <c r="P28" s="356">
        <f t="shared" si="14"/>
        <v>3.7857142857142856</v>
      </c>
      <c r="Q28" s="356">
        <f t="shared" si="14"/>
        <v>3.7857142857142856</v>
      </c>
      <c r="R28" s="356">
        <f t="shared" si="14"/>
        <v>3.7857142857142856</v>
      </c>
      <c r="S28" s="356">
        <f t="shared" si="14"/>
        <v>3.7857142857142856</v>
      </c>
      <c r="T28" s="356">
        <f t="shared" si="14"/>
        <v>3.7857142857142856</v>
      </c>
      <c r="U28" s="356">
        <f t="shared" si="14"/>
        <v>3.7857142857142856</v>
      </c>
      <c r="V28" s="356">
        <f t="shared" si="14"/>
        <v>3.7857142857142856</v>
      </c>
      <c r="W28" s="356">
        <f t="shared" si="14"/>
        <v>3.7857142857142856</v>
      </c>
      <c r="X28" s="356">
        <f t="shared" si="14"/>
        <v>3.7857142857142856</v>
      </c>
      <c r="Y28" s="356">
        <f t="shared" si="12"/>
        <v>3.7857142857142856</v>
      </c>
      <c r="Z28" s="356">
        <f t="shared" si="12"/>
        <v>3.7857142857142856</v>
      </c>
      <c r="AA28" s="356">
        <f t="shared" si="12"/>
        <v>3.7857142857142856</v>
      </c>
      <c r="AB28" s="356">
        <f t="shared" si="12"/>
        <v>3.7857142857142856</v>
      </c>
      <c r="AC28" s="356">
        <f t="shared" si="12"/>
        <v>3.7857142857142856</v>
      </c>
      <c r="AD28" s="356">
        <f t="shared" si="12"/>
        <v>3.7857142857142856</v>
      </c>
      <c r="AE28" s="356">
        <f t="shared" si="12"/>
        <v>3.7857142857142856</v>
      </c>
      <c r="AF28" s="356">
        <f t="shared" si="12"/>
        <v>3.7857142857142856</v>
      </c>
      <c r="AG28" s="356">
        <f t="shared" si="12"/>
        <v>3.7857142857142856</v>
      </c>
      <c r="AH28" s="356">
        <f t="shared" si="12"/>
        <v>3.7857142857142856</v>
      </c>
      <c r="AI28" s="356">
        <f t="shared" si="12"/>
        <v>3.7857142857142856</v>
      </c>
      <c r="AJ28" s="356">
        <f t="shared" si="12"/>
        <v>3.7857142857142856</v>
      </c>
      <c r="AK28" s="356">
        <f t="shared" si="12"/>
        <v>3.7857142857142856</v>
      </c>
      <c r="AL28" s="356">
        <f t="shared" si="12"/>
        <v>3.7857142857142856</v>
      </c>
      <c r="AM28" s="356">
        <f t="shared" si="12"/>
        <v>3.7857142857142856</v>
      </c>
      <c r="AN28" s="356">
        <f t="shared" si="13"/>
        <v>3.7857142857142856</v>
      </c>
      <c r="AO28" s="356">
        <f t="shared" si="13"/>
        <v>3.7857142857142856</v>
      </c>
      <c r="AP28" s="356">
        <f t="shared" si="13"/>
        <v>3.7857142857142856</v>
      </c>
      <c r="AQ28" s="356">
        <f t="shared" si="13"/>
        <v>3.7857142857142856</v>
      </c>
      <c r="AR28" s="356">
        <f t="shared" si="13"/>
        <v>3.7857142857142856</v>
      </c>
      <c r="AS28" s="356">
        <f t="shared" si="13"/>
        <v>3.7857142857142856</v>
      </c>
      <c r="AT28" s="356">
        <f t="shared" si="13"/>
        <v>3.7857142857142856</v>
      </c>
      <c r="AU28" s="356">
        <f t="shared" si="13"/>
        <v>3.7857142857142856</v>
      </c>
      <c r="AV28" s="356">
        <f t="shared" si="13"/>
        <v>3.7857142857142856</v>
      </c>
      <c r="AW28" s="356">
        <f t="shared" si="13"/>
        <v>3.7857142857142856</v>
      </c>
      <c r="AX28" s="356">
        <f t="shared" si="13"/>
        <v>3.7857142857142856</v>
      </c>
      <c r="AY28" s="356">
        <f t="shared" si="13"/>
        <v>3.7857142857142856</v>
      </c>
      <c r="AZ28" s="356">
        <f t="shared" si="13"/>
        <v>3.7857142857142856</v>
      </c>
      <c r="BA28" s="356">
        <f t="shared" si="13"/>
        <v>3.7857142857142856</v>
      </c>
      <c r="BB28" s="356">
        <f t="shared" si="13"/>
        <v>3.7857142857142856</v>
      </c>
      <c r="BC28" s="356">
        <f t="shared" si="13"/>
        <v>3.7857142857142856</v>
      </c>
      <c r="BD28" s="356">
        <f t="shared" si="11"/>
        <v>3.7857142857142856</v>
      </c>
      <c r="BE28" s="356"/>
      <c r="BF28" s="356"/>
      <c r="BG28"/>
      <c r="BH28"/>
    </row>
    <row r="29" spans="1:67" x14ac:dyDescent="0.25">
      <c r="A29" s="15" t="s">
        <v>481</v>
      </c>
      <c r="B29" s="346">
        <f t="shared" si="4"/>
        <v>1</v>
      </c>
      <c r="C29" s="346">
        <f t="shared" si="0"/>
        <v>0.14285714285714285</v>
      </c>
      <c r="D29" s="352">
        <f>7.14*B29+3*C29</f>
        <v>7.5685714285714285</v>
      </c>
      <c r="E29" s="347">
        <f t="shared" si="9"/>
        <v>1.25</v>
      </c>
      <c r="F29" s="347">
        <v>0</v>
      </c>
      <c r="G29" s="354">
        <f t="shared" si="5"/>
        <v>0</v>
      </c>
      <c r="H29" s="355">
        <f t="shared" si="6"/>
        <v>7.5685714285714285</v>
      </c>
      <c r="I29" s="356">
        <f t="shared" si="14"/>
        <v>7.5685714285714285</v>
      </c>
      <c r="J29" s="356">
        <f t="shared" si="14"/>
        <v>7.5685714285714285</v>
      </c>
      <c r="K29" s="356">
        <f t="shared" si="14"/>
        <v>7.5685714285714285</v>
      </c>
      <c r="L29" s="356">
        <f t="shared" si="14"/>
        <v>7.5685714285714285</v>
      </c>
      <c r="M29" s="356">
        <f t="shared" si="14"/>
        <v>7.5685714285714285</v>
      </c>
      <c r="N29" s="356">
        <f t="shared" si="14"/>
        <v>7.5685714285714285</v>
      </c>
      <c r="O29" s="356">
        <f t="shared" si="14"/>
        <v>7.5685714285714285</v>
      </c>
      <c r="P29" s="356">
        <f t="shared" si="14"/>
        <v>7.5685714285714285</v>
      </c>
      <c r="Q29" s="356">
        <f t="shared" si="14"/>
        <v>7.5685714285714285</v>
      </c>
      <c r="R29" s="356">
        <f t="shared" si="14"/>
        <v>7.5685714285714285</v>
      </c>
      <c r="S29" s="356">
        <f t="shared" si="14"/>
        <v>7.5685714285714285</v>
      </c>
      <c r="T29" s="356">
        <f t="shared" si="14"/>
        <v>7.5685714285714285</v>
      </c>
      <c r="U29" s="356">
        <f t="shared" si="14"/>
        <v>7.5685714285714285</v>
      </c>
      <c r="V29" s="356">
        <f t="shared" si="14"/>
        <v>7.5685714285714285</v>
      </c>
      <c r="W29" s="356">
        <f t="shared" si="14"/>
        <v>7.5685714285714285</v>
      </c>
      <c r="X29" s="356">
        <f t="shared" si="14"/>
        <v>7.5685714285714285</v>
      </c>
      <c r="Y29" s="356">
        <f t="shared" si="12"/>
        <v>7.5685714285714285</v>
      </c>
      <c r="Z29" s="356">
        <f t="shared" si="12"/>
        <v>7.5685714285714285</v>
      </c>
      <c r="AA29" s="356">
        <f t="shared" si="12"/>
        <v>7.5685714285714285</v>
      </c>
      <c r="AB29" s="356">
        <f t="shared" si="12"/>
        <v>7.5685714285714285</v>
      </c>
      <c r="AC29" s="356">
        <f t="shared" si="12"/>
        <v>7.5685714285714285</v>
      </c>
      <c r="AD29" s="356">
        <f t="shared" si="12"/>
        <v>7.5685714285714285</v>
      </c>
      <c r="AE29" s="356">
        <f t="shared" si="12"/>
        <v>7.5685714285714285</v>
      </c>
      <c r="AF29" s="356">
        <f t="shared" si="12"/>
        <v>7.5685714285714285</v>
      </c>
      <c r="AG29" s="356">
        <f t="shared" si="12"/>
        <v>7.5685714285714285</v>
      </c>
      <c r="AH29" s="356">
        <f t="shared" si="12"/>
        <v>7.5685714285714285</v>
      </c>
      <c r="AI29" s="356">
        <f t="shared" si="12"/>
        <v>7.5685714285714285</v>
      </c>
      <c r="AJ29" s="356">
        <f t="shared" si="12"/>
        <v>7.5685714285714285</v>
      </c>
      <c r="AK29" s="356">
        <f t="shared" si="12"/>
        <v>7.5685714285714285</v>
      </c>
      <c r="AL29" s="356">
        <f t="shared" si="12"/>
        <v>7.5685714285714285</v>
      </c>
      <c r="AM29" s="356">
        <f t="shared" si="12"/>
        <v>7.5685714285714285</v>
      </c>
      <c r="AN29" s="356">
        <f t="shared" si="13"/>
        <v>7.5685714285714285</v>
      </c>
      <c r="AO29" s="356">
        <f t="shared" si="13"/>
        <v>7.5685714285714285</v>
      </c>
      <c r="AP29" s="356">
        <f t="shared" si="13"/>
        <v>7.5685714285714285</v>
      </c>
      <c r="AQ29" s="356">
        <f t="shared" si="13"/>
        <v>7.5685714285714285</v>
      </c>
      <c r="AR29" s="356">
        <f t="shared" si="13"/>
        <v>7.5685714285714285</v>
      </c>
      <c r="AS29" s="356">
        <f t="shared" si="13"/>
        <v>7.5685714285714285</v>
      </c>
      <c r="AT29" s="356">
        <f t="shared" si="13"/>
        <v>7.5685714285714285</v>
      </c>
      <c r="AU29" s="356">
        <f t="shared" si="13"/>
        <v>7.5685714285714285</v>
      </c>
      <c r="AV29" s="356">
        <f t="shared" si="13"/>
        <v>7.5685714285714285</v>
      </c>
      <c r="AW29" s="356">
        <f t="shared" si="13"/>
        <v>7.5685714285714285</v>
      </c>
      <c r="AX29" s="356">
        <f t="shared" si="13"/>
        <v>7.5685714285714285</v>
      </c>
      <c r="AY29" s="356">
        <f t="shared" si="13"/>
        <v>7.5685714285714285</v>
      </c>
      <c r="AZ29" s="356">
        <f t="shared" si="13"/>
        <v>7.5685714285714285</v>
      </c>
      <c r="BA29" s="356">
        <f t="shared" si="13"/>
        <v>7.5685714285714285</v>
      </c>
      <c r="BB29" s="356">
        <f t="shared" si="13"/>
        <v>7.5685714285714285</v>
      </c>
      <c r="BC29" s="356">
        <f t="shared" si="13"/>
        <v>7.5685714285714285</v>
      </c>
      <c r="BD29" s="356">
        <f t="shared" si="11"/>
        <v>7.5685714285714285</v>
      </c>
      <c r="BE29" s="356"/>
      <c r="BF29" s="356"/>
      <c r="BG29"/>
      <c r="BH29"/>
    </row>
    <row r="30" spans="1:67" x14ac:dyDescent="0.25">
      <c r="A30" s="15" t="s">
        <v>482</v>
      </c>
      <c r="B30" s="346">
        <f t="shared" si="4"/>
        <v>1</v>
      </c>
      <c r="C30" s="346">
        <f t="shared" si="0"/>
        <v>0.14285714285714285</v>
      </c>
      <c r="D30" s="352">
        <f>7.28*B30+3*C30</f>
        <v>7.7085714285714291</v>
      </c>
      <c r="E30" s="347">
        <f t="shared" si="9"/>
        <v>1.25</v>
      </c>
      <c r="F30" s="347">
        <v>0</v>
      </c>
      <c r="G30" s="354">
        <f t="shared" si="5"/>
        <v>0</v>
      </c>
      <c r="H30" s="355">
        <f t="shared" si="6"/>
        <v>7.7085714285714291</v>
      </c>
      <c r="I30" s="356">
        <f t="shared" si="14"/>
        <v>7.7085714285714291</v>
      </c>
      <c r="J30" s="356">
        <f t="shared" si="14"/>
        <v>7.7085714285714291</v>
      </c>
      <c r="K30" s="356">
        <f t="shared" si="14"/>
        <v>7.7085714285714291</v>
      </c>
      <c r="L30" s="356">
        <f t="shared" si="14"/>
        <v>7.7085714285714291</v>
      </c>
      <c r="M30" s="356">
        <f t="shared" si="14"/>
        <v>7.7085714285714291</v>
      </c>
      <c r="N30" s="356">
        <f t="shared" si="14"/>
        <v>7.7085714285714291</v>
      </c>
      <c r="O30" s="356">
        <f t="shared" si="14"/>
        <v>7.7085714285714291</v>
      </c>
      <c r="P30" s="356">
        <f t="shared" si="14"/>
        <v>7.7085714285714291</v>
      </c>
      <c r="Q30" s="356">
        <f t="shared" si="14"/>
        <v>7.7085714285714291</v>
      </c>
      <c r="R30" s="356">
        <f t="shared" si="14"/>
        <v>7.7085714285714291</v>
      </c>
      <c r="S30" s="356">
        <f t="shared" si="14"/>
        <v>7.7085714285714291</v>
      </c>
      <c r="T30" s="356">
        <f t="shared" si="14"/>
        <v>7.7085714285714291</v>
      </c>
      <c r="U30" s="356">
        <f t="shared" si="14"/>
        <v>7.7085714285714291</v>
      </c>
      <c r="V30" s="356">
        <f t="shared" si="14"/>
        <v>7.7085714285714291</v>
      </c>
      <c r="W30" s="356">
        <f t="shared" si="14"/>
        <v>7.7085714285714291</v>
      </c>
      <c r="X30" s="356">
        <f t="shared" si="14"/>
        <v>7.7085714285714291</v>
      </c>
      <c r="Y30" s="356">
        <f t="shared" si="12"/>
        <v>7.7085714285714291</v>
      </c>
      <c r="Z30" s="356">
        <f t="shared" si="12"/>
        <v>7.7085714285714291</v>
      </c>
      <c r="AA30" s="356">
        <f t="shared" si="12"/>
        <v>7.7085714285714291</v>
      </c>
      <c r="AB30" s="356">
        <f t="shared" si="12"/>
        <v>7.7085714285714291</v>
      </c>
      <c r="AC30" s="356">
        <f t="shared" si="12"/>
        <v>7.7085714285714291</v>
      </c>
      <c r="AD30" s="356">
        <f t="shared" si="12"/>
        <v>7.7085714285714291</v>
      </c>
      <c r="AE30" s="356">
        <f t="shared" si="12"/>
        <v>7.7085714285714291</v>
      </c>
      <c r="AF30" s="356">
        <f t="shared" si="12"/>
        <v>7.7085714285714291</v>
      </c>
      <c r="AG30" s="356">
        <f t="shared" si="12"/>
        <v>7.7085714285714291</v>
      </c>
      <c r="AH30" s="356">
        <f t="shared" si="12"/>
        <v>7.7085714285714291</v>
      </c>
      <c r="AI30" s="356">
        <f t="shared" si="12"/>
        <v>7.7085714285714291</v>
      </c>
      <c r="AJ30" s="356">
        <f t="shared" si="12"/>
        <v>7.7085714285714291</v>
      </c>
      <c r="AK30" s="356">
        <f t="shared" si="12"/>
        <v>7.7085714285714291</v>
      </c>
      <c r="AL30" s="356">
        <f t="shared" si="12"/>
        <v>7.7085714285714291</v>
      </c>
      <c r="AM30" s="356">
        <f t="shared" si="12"/>
        <v>7.7085714285714291</v>
      </c>
      <c r="AN30" s="356">
        <f t="shared" si="13"/>
        <v>7.7085714285714291</v>
      </c>
      <c r="AO30" s="356">
        <f t="shared" si="13"/>
        <v>7.7085714285714291</v>
      </c>
      <c r="AP30" s="356">
        <f t="shared" si="13"/>
        <v>7.7085714285714291</v>
      </c>
      <c r="AQ30" s="356">
        <f t="shared" si="13"/>
        <v>7.7085714285714291</v>
      </c>
      <c r="AR30" s="356">
        <f t="shared" si="13"/>
        <v>7.7085714285714291</v>
      </c>
      <c r="AS30" s="356">
        <f t="shared" si="13"/>
        <v>7.7085714285714291</v>
      </c>
      <c r="AT30" s="356">
        <f t="shared" si="13"/>
        <v>7.7085714285714291</v>
      </c>
      <c r="AU30" s="356">
        <f t="shared" si="13"/>
        <v>7.7085714285714291</v>
      </c>
      <c r="AV30" s="356">
        <f t="shared" si="13"/>
        <v>7.7085714285714291</v>
      </c>
      <c r="AW30" s="356">
        <f t="shared" si="13"/>
        <v>7.7085714285714291</v>
      </c>
      <c r="AX30" s="356">
        <f t="shared" si="13"/>
        <v>7.7085714285714291</v>
      </c>
      <c r="AY30" s="356">
        <f t="shared" si="13"/>
        <v>7.7085714285714291</v>
      </c>
      <c r="AZ30" s="356">
        <f t="shared" si="13"/>
        <v>7.7085714285714291</v>
      </c>
      <c r="BA30" s="356">
        <f t="shared" si="13"/>
        <v>7.7085714285714291</v>
      </c>
      <c r="BB30" s="356">
        <f t="shared" si="13"/>
        <v>7.7085714285714291</v>
      </c>
      <c r="BC30" s="356">
        <f t="shared" si="13"/>
        <v>7.7085714285714291</v>
      </c>
      <c r="BD30" s="356">
        <f t="shared" si="11"/>
        <v>7.7085714285714291</v>
      </c>
      <c r="BE30" s="356"/>
      <c r="BF30" s="356"/>
      <c r="BG30"/>
      <c r="BH30"/>
    </row>
    <row r="31" spans="1:67" x14ac:dyDescent="0.25">
      <c r="A31" s="15" t="s">
        <v>483</v>
      </c>
      <c r="B31" s="346">
        <f t="shared" si="4"/>
        <v>1</v>
      </c>
      <c r="C31" s="346">
        <f t="shared" si="0"/>
        <v>0.14285714285714285</v>
      </c>
      <c r="D31" s="352">
        <f>3.21*B31</f>
        <v>3.21</v>
      </c>
      <c r="E31" s="347">
        <f t="shared" si="9"/>
        <v>1.25</v>
      </c>
      <c r="F31" s="347">
        <f>4*C31</f>
        <v>0.5714285714285714</v>
      </c>
      <c r="G31" s="354">
        <f t="shared" si="5"/>
        <v>0.71428571428571419</v>
      </c>
      <c r="H31" s="355">
        <f t="shared" si="6"/>
        <v>3.9242857142857144</v>
      </c>
      <c r="I31" s="356">
        <f t="shared" si="14"/>
        <v>3.9242857142857144</v>
      </c>
      <c r="J31" s="356">
        <f t="shared" si="14"/>
        <v>3.9242857142857144</v>
      </c>
      <c r="K31" s="356">
        <f t="shared" si="14"/>
        <v>3.9242857142857144</v>
      </c>
      <c r="L31" s="356">
        <f t="shared" si="14"/>
        <v>3.9242857142857144</v>
      </c>
      <c r="M31" s="356">
        <f t="shared" si="14"/>
        <v>3.9242857142857144</v>
      </c>
      <c r="N31" s="356">
        <f t="shared" si="14"/>
        <v>3.9242857142857144</v>
      </c>
      <c r="O31" s="356">
        <f t="shared" si="14"/>
        <v>3.9242857142857144</v>
      </c>
      <c r="P31" s="356">
        <f t="shared" si="14"/>
        <v>3.9242857142857144</v>
      </c>
      <c r="Q31" s="356">
        <f t="shared" si="14"/>
        <v>3.9242857142857144</v>
      </c>
      <c r="R31" s="356">
        <f t="shared" si="14"/>
        <v>3.9242857142857144</v>
      </c>
      <c r="S31" s="356">
        <f t="shared" si="14"/>
        <v>3.9242857142857144</v>
      </c>
      <c r="T31" s="356">
        <f t="shared" si="14"/>
        <v>3.9242857142857144</v>
      </c>
      <c r="U31" s="356">
        <f t="shared" si="14"/>
        <v>3.9242857142857144</v>
      </c>
      <c r="V31" s="356">
        <f t="shared" si="14"/>
        <v>3.9242857142857144</v>
      </c>
      <c r="W31" s="356">
        <f t="shared" si="14"/>
        <v>3.9242857142857144</v>
      </c>
      <c r="X31" s="356">
        <f t="shared" si="14"/>
        <v>3.9242857142857144</v>
      </c>
      <c r="Y31" s="356">
        <f t="shared" si="12"/>
        <v>3.9242857142857144</v>
      </c>
      <c r="Z31" s="356">
        <f t="shared" si="12"/>
        <v>3.9242857142857144</v>
      </c>
      <c r="AA31" s="356">
        <f t="shared" si="12"/>
        <v>3.9242857142857144</v>
      </c>
      <c r="AB31" s="356">
        <f t="shared" si="12"/>
        <v>3.9242857142857144</v>
      </c>
      <c r="AC31" s="356">
        <f t="shared" si="12"/>
        <v>3.9242857142857144</v>
      </c>
      <c r="AD31" s="356">
        <f t="shared" si="12"/>
        <v>3.9242857142857144</v>
      </c>
      <c r="AE31" s="356">
        <f t="shared" si="12"/>
        <v>3.9242857142857144</v>
      </c>
      <c r="AF31" s="356">
        <f t="shared" si="12"/>
        <v>3.9242857142857144</v>
      </c>
      <c r="AG31" s="356">
        <f t="shared" si="12"/>
        <v>3.9242857142857144</v>
      </c>
      <c r="AH31" s="356">
        <f t="shared" si="12"/>
        <v>3.9242857142857144</v>
      </c>
      <c r="AI31" s="356">
        <f t="shared" si="12"/>
        <v>3.9242857142857144</v>
      </c>
      <c r="AJ31" s="356">
        <f t="shared" si="12"/>
        <v>3.9242857142857144</v>
      </c>
      <c r="AK31" s="356">
        <f t="shared" si="12"/>
        <v>3.9242857142857144</v>
      </c>
      <c r="AL31" s="356">
        <f t="shared" si="12"/>
        <v>3.9242857142857144</v>
      </c>
      <c r="AM31" s="356">
        <f t="shared" si="12"/>
        <v>3.9242857142857144</v>
      </c>
      <c r="AN31" s="356">
        <f t="shared" si="13"/>
        <v>3.9242857142857144</v>
      </c>
      <c r="AO31" s="356">
        <f t="shared" si="13"/>
        <v>3.9242857142857144</v>
      </c>
      <c r="AP31" s="356">
        <f t="shared" si="13"/>
        <v>3.9242857142857144</v>
      </c>
      <c r="AQ31" s="356">
        <f t="shared" si="13"/>
        <v>3.9242857142857144</v>
      </c>
      <c r="AR31" s="356">
        <f t="shared" si="13"/>
        <v>3.9242857142857144</v>
      </c>
      <c r="AS31" s="356">
        <f t="shared" si="13"/>
        <v>3.9242857142857144</v>
      </c>
      <c r="AT31" s="356">
        <f t="shared" si="13"/>
        <v>3.9242857142857144</v>
      </c>
      <c r="AU31" s="356">
        <f t="shared" si="13"/>
        <v>3.9242857142857144</v>
      </c>
      <c r="AV31" s="356">
        <f t="shared" si="13"/>
        <v>3.9242857142857144</v>
      </c>
      <c r="AW31" s="356">
        <f t="shared" si="13"/>
        <v>3.9242857142857144</v>
      </c>
      <c r="AX31" s="356">
        <f t="shared" si="13"/>
        <v>3.9242857142857144</v>
      </c>
      <c r="AY31" s="356">
        <f t="shared" si="13"/>
        <v>3.9242857142857144</v>
      </c>
      <c r="AZ31" s="356">
        <f t="shared" si="13"/>
        <v>3.9242857142857144</v>
      </c>
      <c r="BA31" s="356">
        <f t="shared" si="13"/>
        <v>3.9242857142857144</v>
      </c>
      <c r="BB31" s="356">
        <f t="shared" si="13"/>
        <v>3.9242857142857144</v>
      </c>
      <c r="BC31" s="356">
        <f t="shared" si="13"/>
        <v>3.9242857142857144</v>
      </c>
      <c r="BD31" s="356">
        <f t="shared" si="11"/>
        <v>3.9242857142857144</v>
      </c>
      <c r="BE31" s="356"/>
      <c r="BF31" s="356"/>
      <c r="BG31"/>
      <c r="BH31"/>
    </row>
    <row r="32" spans="1:67" x14ac:dyDescent="0.25">
      <c r="A32" s="15" t="s">
        <v>484</v>
      </c>
      <c r="B32" s="346">
        <f t="shared" si="4"/>
        <v>1</v>
      </c>
      <c r="C32" s="346">
        <f t="shared" si="0"/>
        <v>0.14285714285714285</v>
      </c>
      <c r="D32" s="352">
        <f>5*B32+3*C32</f>
        <v>5.4285714285714288</v>
      </c>
      <c r="E32" s="347">
        <f t="shared" si="9"/>
        <v>1.25</v>
      </c>
      <c r="F32" s="347">
        <f>4*C32</f>
        <v>0.5714285714285714</v>
      </c>
      <c r="G32" s="354">
        <f t="shared" si="5"/>
        <v>0.71428571428571419</v>
      </c>
      <c r="H32" s="355">
        <f t="shared" si="6"/>
        <v>6.1428571428571432</v>
      </c>
      <c r="I32" s="356">
        <f t="shared" si="14"/>
        <v>6.1428571428571432</v>
      </c>
      <c r="J32" s="356">
        <f t="shared" si="14"/>
        <v>6.1428571428571432</v>
      </c>
      <c r="K32" s="356">
        <f t="shared" si="14"/>
        <v>6.1428571428571432</v>
      </c>
      <c r="L32" s="356">
        <f t="shared" si="14"/>
        <v>6.1428571428571432</v>
      </c>
      <c r="M32" s="356">
        <f t="shared" si="14"/>
        <v>6.1428571428571432</v>
      </c>
      <c r="N32" s="356">
        <f t="shared" si="14"/>
        <v>6.1428571428571432</v>
      </c>
      <c r="O32" s="356">
        <f t="shared" si="14"/>
        <v>6.1428571428571432</v>
      </c>
      <c r="P32" s="356">
        <f t="shared" si="14"/>
        <v>6.1428571428571432</v>
      </c>
      <c r="Q32" s="356">
        <f t="shared" si="14"/>
        <v>6.1428571428571432</v>
      </c>
      <c r="R32" s="356">
        <f t="shared" si="14"/>
        <v>6.1428571428571432</v>
      </c>
      <c r="S32" s="356">
        <f t="shared" si="14"/>
        <v>6.1428571428571432</v>
      </c>
      <c r="T32" s="356">
        <f t="shared" si="14"/>
        <v>6.1428571428571432</v>
      </c>
      <c r="U32" s="356">
        <f t="shared" si="14"/>
        <v>6.1428571428571432</v>
      </c>
      <c r="V32" s="356">
        <f t="shared" si="14"/>
        <v>6.1428571428571432</v>
      </c>
      <c r="W32" s="356">
        <f t="shared" si="14"/>
        <v>6.1428571428571432</v>
      </c>
      <c r="X32" s="356">
        <f t="shared" si="14"/>
        <v>6.1428571428571432</v>
      </c>
      <c r="Y32" s="356">
        <f t="shared" si="12"/>
        <v>6.1428571428571432</v>
      </c>
      <c r="Z32" s="356">
        <f t="shared" si="12"/>
        <v>6.1428571428571432</v>
      </c>
      <c r="AA32" s="356">
        <f t="shared" si="12"/>
        <v>6.1428571428571432</v>
      </c>
      <c r="AB32" s="356">
        <f t="shared" si="12"/>
        <v>6.1428571428571432</v>
      </c>
      <c r="AC32" s="356">
        <f t="shared" si="12"/>
        <v>6.1428571428571432</v>
      </c>
      <c r="AD32" s="356">
        <f t="shared" si="12"/>
        <v>6.1428571428571432</v>
      </c>
      <c r="AE32" s="356">
        <f t="shared" si="12"/>
        <v>6.1428571428571432</v>
      </c>
      <c r="AF32" s="356">
        <f t="shared" si="12"/>
        <v>6.1428571428571432</v>
      </c>
      <c r="AG32" s="356">
        <f t="shared" si="12"/>
        <v>6.1428571428571432</v>
      </c>
      <c r="AH32" s="356">
        <f t="shared" si="12"/>
        <v>6.1428571428571432</v>
      </c>
      <c r="AI32" s="356">
        <f t="shared" si="12"/>
        <v>6.1428571428571432</v>
      </c>
      <c r="AJ32" s="356">
        <f t="shared" si="12"/>
        <v>6.1428571428571432</v>
      </c>
      <c r="AK32" s="356">
        <f t="shared" si="12"/>
        <v>6.1428571428571432</v>
      </c>
      <c r="AL32" s="356">
        <f t="shared" si="12"/>
        <v>6.1428571428571432</v>
      </c>
      <c r="AM32" s="356">
        <f t="shared" si="12"/>
        <v>6.1428571428571432</v>
      </c>
      <c r="AN32" s="356">
        <f t="shared" si="13"/>
        <v>6.1428571428571432</v>
      </c>
      <c r="AO32" s="356">
        <f t="shared" si="13"/>
        <v>6.1428571428571432</v>
      </c>
      <c r="AP32" s="356">
        <f t="shared" si="13"/>
        <v>6.1428571428571432</v>
      </c>
      <c r="AQ32" s="356">
        <f t="shared" si="13"/>
        <v>6.1428571428571432</v>
      </c>
      <c r="AR32" s="356">
        <f t="shared" si="13"/>
        <v>6.1428571428571432</v>
      </c>
      <c r="AS32" s="356">
        <f t="shared" si="13"/>
        <v>6.1428571428571432</v>
      </c>
      <c r="AT32" s="356">
        <f t="shared" si="13"/>
        <v>6.1428571428571432</v>
      </c>
      <c r="AU32" s="356">
        <f t="shared" si="13"/>
        <v>6.1428571428571432</v>
      </c>
      <c r="AV32" s="356">
        <f t="shared" si="13"/>
        <v>6.1428571428571432</v>
      </c>
      <c r="AW32" s="356">
        <f t="shared" si="13"/>
        <v>6.1428571428571432</v>
      </c>
      <c r="AX32" s="356">
        <f t="shared" si="13"/>
        <v>6.1428571428571432</v>
      </c>
      <c r="AY32" s="356">
        <f t="shared" si="13"/>
        <v>6.1428571428571432</v>
      </c>
      <c r="AZ32" s="356">
        <f t="shared" si="13"/>
        <v>6.1428571428571432</v>
      </c>
      <c r="BA32" s="356">
        <f t="shared" si="13"/>
        <v>6.1428571428571432</v>
      </c>
      <c r="BB32" s="356">
        <f t="shared" si="13"/>
        <v>6.1428571428571432</v>
      </c>
      <c r="BC32" s="356">
        <f t="shared" si="13"/>
        <v>6.1428571428571432</v>
      </c>
      <c r="BD32" s="356">
        <f t="shared" si="11"/>
        <v>6.1428571428571432</v>
      </c>
      <c r="BE32" s="356"/>
      <c r="BF32" s="356"/>
      <c r="BG32"/>
      <c r="BH32"/>
    </row>
    <row r="33" spans="1:60" x14ac:dyDescent="0.25">
      <c r="A33" s="15" t="s">
        <v>485</v>
      </c>
      <c r="B33" s="346">
        <f t="shared" si="4"/>
        <v>1</v>
      </c>
      <c r="C33" s="346">
        <f t="shared" si="0"/>
        <v>0.14285714285714285</v>
      </c>
      <c r="D33" s="352">
        <f>3*B33+C33</f>
        <v>3.1428571428571428</v>
      </c>
      <c r="E33" s="347">
        <f t="shared" si="9"/>
        <v>1.25</v>
      </c>
      <c r="F33" s="347">
        <f>4*C33</f>
        <v>0.5714285714285714</v>
      </c>
      <c r="G33" s="354">
        <f t="shared" si="5"/>
        <v>0.71428571428571419</v>
      </c>
      <c r="H33" s="355">
        <f t="shared" si="6"/>
        <v>3.8571428571428568</v>
      </c>
      <c r="I33" s="356">
        <f t="shared" si="14"/>
        <v>3.8571428571428568</v>
      </c>
      <c r="J33" s="356">
        <f t="shared" si="14"/>
        <v>3.8571428571428568</v>
      </c>
      <c r="K33" s="356">
        <f t="shared" si="14"/>
        <v>3.8571428571428568</v>
      </c>
      <c r="L33" s="356">
        <f t="shared" si="14"/>
        <v>3.8571428571428568</v>
      </c>
      <c r="M33" s="356">
        <f t="shared" si="14"/>
        <v>3.8571428571428568</v>
      </c>
      <c r="N33" s="356">
        <f t="shared" si="14"/>
        <v>3.8571428571428568</v>
      </c>
      <c r="O33" s="356">
        <f t="shared" si="14"/>
        <v>3.8571428571428568</v>
      </c>
      <c r="P33" s="356">
        <f t="shared" si="14"/>
        <v>3.8571428571428568</v>
      </c>
      <c r="Q33" s="356">
        <f t="shared" si="14"/>
        <v>3.8571428571428568</v>
      </c>
      <c r="R33" s="356">
        <f t="shared" si="14"/>
        <v>3.8571428571428568</v>
      </c>
      <c r="S33" s="356">
        <f t="shared" si="14"/>
        <v>3.8571428571428568</v>
      </c>
      <c r="T33" s="356">
        <f t="shared" si="14"/>
        <v>3.8571428571428568</v>
      </c>
      <c r="U33" s="356">
        <f t="shared" si="14"/>
        <v>3.8571428571428568</v>
      </c>
      <c r="V33" s="356">
        <f t="shared" si="14"/>
        <v>3.8571428571428568</v>
      </c>
      <c r="W33" s="356">
        <f t="shared" si="14"/>
        <v>3.8571428571428568</v>
      </c>
      <c r="X33" s="356">
        <f t="shared" si="14"/>
        <v>3.8571428571428568</v>
      </c>
      <c r="Y33" s="356">
        <f t="shared" si="12"/>
        <v>3.8571428571428568</v>
      </c>
      <c r="Z33" s="356">
        <f t="shared" si="12"/>
        <v>3.8571428571428568</v>
      </c>
      <c r="AA33" s="356">
        <f t="shared" si="12"/>
        <v>3.8571428571428568</v>
      </c>
      <c r="AB33" s="356">
        <f t="shared" si="12"/>
        <v>3.8571428571428568</v>
      </c>
      <c r="AC33" s="356">
        <f t="shared" si="12"/>
        <v>3.8571428571428568</v>
      </c>
      <c r="AD33" s="356">
        <f t="shared" si="12"/>
        <v>3.8571428571428568</v>
      </c>
      <c r="AE33" s="356">
        <f t="shared" si="12"/>
        <v>3.8571428571428568</v>
      </c>
      <c r="AF33" s="356">
        <f t="shared" si="12"/>
        <v>3.8571428571428568</v>
      </c>
      <c r="AG33" s="356">
        <f t="shared" si="12"/>
        <v>3.8571428571428568</v>
      </c>
      <c r="AH33" s="356">
        <f t="shared" si="12"/>
        <v>3.8571428571428568</v>
      </c>
      <c r="AI33" s="356">
        <f t="shared" si="12"/>
        <v>3.8571428571428568</v>
      </c>
      <c r="AJ33" s="356">
        <f t="shared" si="12"/>
        <v>3.8571428571428568</v>
      </c>
      <c r="AK33" s="356">
        <f t="shared" si="12"/>
        <v>3.8571428571428568</v>
      </c>
      <c r="AL33" s="356">
        <f t="shared" si="12"/>
        <v>3.8571428571428568</v>
      </c>
      <c r="AM33" s="356">
        <f t="shared" si="12"/>
        <v>3.8571428571428568</v>
      </c>
      <c r="AN33" s="356">
        <f t="shared" si="13"/>
        <v>3.8571428571428568</v>
      </c>
      <c r="AO33" s="356">
        <f t="shared" si="13"/>
        <v>3.8571428571428568</v>
      </c>
      <c r="AP33" s="356">
        <f t="shared" si="13"/>
        <v>3.8571428571428568</v>
      </c>
      <c r="AQ33" s="356">
        <f t="shared" si="13"/>
        <v>3.8571428571428568</v>
      </c>
      <c r="AR33" s="356">
        <f t="shared" si="13"/>
        <v>3.8571428571428568</v>
      </c>
      <c r="AS33" s="356">
        <f t="shared" si="13"/>
        <v>3.8571428571428568</v>
      </c>
      <c r="AT33" s="356">
        <f t="shared" si="13"/>
        <v>3.8571428571428568</v>
      </c>
      <c r="AU33" s="356">
        <f t="shared" si="13"/>
        <v>3.8571428571428568</v>
      </c>
      <c r="AV33" s="356">
        <f t="shared" si="13"/>
        <v>3.8571428571428568</v>
      </c>
      <c r="AW33" s="356">
        <f t="shared" si="13"/>
        <v>3.8571428571428568</v>
      </c>
      <c r="AX33" s="356">
        <f t="shared" si="13"/>
        <v>3.8571428571428568</v>
      </c>
      <c r="AY33" s="356">
        <f t="shared" si="13"/>
        <v>3.8571428571428568</v>
      </c>
      <c r="AZ33" s="356">
        <f t="shared" si="13"/>
        <v>3.8571428571428568</v>
      </c>
      <c r="BA33" s="356">
        <f t="shared" si="13"/>
        <v>3.8571428571428568</v>
      </c>
      <c r="BB33" s="356">
        <f t="shared" si="13"/>
        <v>3.8571428571428568</v>
      </c>
      <c r="BC33" s="356">
        <f t="shared" si="13"/>
        <v>3.8571428571428568</v>
      </c>
      <c r="BD33" s="356">
        <f t="shared" si="11"/>
        <v>3.8571428571428568</v>
      </c>
      <c r="BE33" s="356"/>
      <c r="BF33" s="356"/>
      <c r="BG33"/>
      <c r="BH33"/>
    </row>
    <row r="34" spans="1:60" x14ac:dyDescent="0.25">
      <c r="A34" s="15" t="s">
        <v>486</v>
      </c>
      <c r="B34" s="346">
        <f t="shared" si="4"/>
        <v>1</v>
      </c>
      <c r="C34" s="346">
        <f t="shared" si="0"/>
        <v>0.14285714285714285</v>
      </c>
      <c r="D34" s="352">
        <f>1.85*B34+3*C34</f>
        <v>2.2785714285714285</v>
      </c>
      <c r="E34" s="347">
        <f t="shared" si="9"/>
        <v>1.25</v>
      </c>
      <c r="F34" s="347">
        <f>8*C34</f>
        <v>1.1428571428571428</v>
      </c>
      <c r="G34" s="354">
        <f t="shared" si="5"/>
        <v>1.4285714285714284</v>
      </c>
      <c r="H34" s="355">
        <f t="shared" si="6"/>
        <v>3.7071428571428569</v>
      </c>
      <c r="I34" s="356">
        <f t="shared" si="14"/>
        <v>3.7071428571428569</v>
      </c>
      <c r="J34" s="356">
        <f t="shared" si="14"/>
        <v>3.7071428571428569</v>
      </c>
      <c r="K34" s="356">
        <f t="shared" si="14"/>
        <v>3.7071428571428569</v>
      </c>
      <c r="L34" s="356">
        <f t="shared" si="14"/>
        <v>3.7071428571428569</v>
      </c>
      <c r="M34" s="356">
        <f t="shared" si="14"/>
        <v>3.7071428571428569</v>
      </c>
      <c r="N34" s="356">
        <f t="shared" si="14"/>
        <v>3.7071428571428569</v>
      </c>
      <c r="O34" s="356">
        <f t="shared" si="14"/>
        <v>3.7071428571428569</v>
      </c>
      <c r="P34" s="356">
        <f t="shared" si="14"/>
        <v>3.7071428571428569</v>
      </c>
      <c r="Q34" s="356">
        <f t="shared" si="14"/>
        <v>3.7071428571428569</v>
      </c>
      <c r="R34" s="356">
        <f t="shared" si="14"/>
        <v>3.7071428571428569</v>
      </c>
      <c r="S34" s="356">
        <f t="shared" si="14"/>
        <v>3.7071428571428569</v>
      </c>
      <c r="T34" s="356">
        <f t="shared" si="14"/>
        <v>3.7071428571428569</v>
      </c>
      <c r="U34" s="356">
        <f t="shared" si="14"/>
        <v>3.7071428571428569</v>
      </c>
      <c r="V34" s="356">
        <f t="shared" si="14"/>
        <v>3.7071428571428569</v>
      </c>
      <c r="W34" s="356">
        <f t="shared" si="14"/>
        <v>3.7071428571428569</v>
      </c>
      <c r="X34" s="356">
        <f t="shared" si="14"/>
        <v>3.7071428571428569</v>
      </c>
      <c r="Y34" s="356">
        <f t="shared" si="12"/>
        <v>3.7071428571428569</v>
      </c>
      <c r="Z34" s="356">
        <f t="shared" si="12"/>
        <v>3.7071428571428569</v>
      </c>
      <c r="AA34" s="356">
        <f t="shared" si="12"/>
        <v>3.7071428571428569</v>
      </c>
      <c r="AB34" s="356">
        <f t="shared" si="12"/>
        <v>3.7071428571428569</v>
      </c>
      <c r="AC34" s="356">
        <f t="shared" si="12"/>
        <v>3.7071428571428569</v>
      </c>
      <c r="AD34" s="356">
        <f t="shared" si="12"/>
        <v>3.7071428571428569</v>
      </c>
      <c r="AE34" s="356">
        <f t="shared" si="12"/>
        <v>3.7071428571428569</v>
      </c>
      <c r="AF34" s="356">
        <f t="shared" si="12"/>
        <v>3.7071428571428569</v>
      </c>
      <c r="AG34" s="356">
        <f t="shared" si="12"/>
        <v>3.7071428571428569</v>
      </c>
      <c r="AH34" s="356">
        <f t="shared" si="12"/>
        <v>3.7071428571428569</v>
      </c>
      <c r="AI34" s="356">
        <f t="shared" si="12"/>
        <v>3.7071428571428569</v>
      </c>
      <c r="AJ34" s="356">
        <f t="shared" si="12"/>
        <v>3.7071428571428569</v>
      </c>
      <c r="AK34" s="356">
        <f t="shared" si="12"/>
        <v>3.7071428571428569</v>
      </c>
      <c r="AL34" s="356">
        <f t="shared" si="12"/>
        <v>3.7071428571428569</v>
      </c>
      <c r="AM34" s="356">
        <f t="shared" si="12"/>
        <v>3.7071428571428569</v>
      </c>
      <c r="AN34" s="356">
        <f t="shared" si="13"/>
        <v>3.7071428571428569</v>
      </c>
      <c r="AO34" s="356">
        <f t="shared" si="13"/>
        <v>3.7071428571428569</v>
      </c>
      <c r="AP34" s="356">
        <f t="shared" si="13"/>
        <v>3.7071428571428569</v>
      </c>
      <c r="AQ34" s="356">
        <f t="shared" si="13"/>
        <v>3.7071428571428569</v>
      </c>
      <c r="AR34" s="356">
        <f t="shared" si="13"/>
        <v>3.7071428571428569</v>
      </c>
      <c r="AS34" s="356">
        <f t="shared" si="13"/>
        <v>3.7071428571428569</v>
      </c>
      <c r="AT34" s="356">
        <f t="shared" si="13"/>
        <v>3.7071428571428569</v>
      </c>
      <c r="AU34" s="356">
        <f t="shared" si="13"/>
        <v>3.7071428571428569</v>
      </c>
      <c r="AV34" s="356">
        <f t="shared" si="13"/>
        <v>3.7071428571428569</v>
      </c>
      <c r="AW34" s="356">
        <f t="shared" si="13"/>
        <v>3.7071428571428569</v>
      </c>
      <c r="AX34" s="356">
        <f t="shared" si="13"/>
        <v>3.7071428571428569</v>
      </c>
      <c r="AY34" s="356">
        <f t="shared" si="13"/>
        <v>3.7071428571428569</v>
      </c>
      <c r="AZ34" s="356">
        <f t="shared" si="13"/>
        <v>3.7071428571428569</v>
      </c>
      <c r="BA34" s="356">
        <f t="shared" si="13"/>
        <v>3.7071428571428569</v>
      </c>
      <c r="BB34" s="356">
        <f t="shared" si="13"/>
        <v>3.7071428571428569</v>
      </c>
      <c r="BC34" s="356">
        <f t="shared" si="13"/>
        <v>3.7071428571428569</v>
      </c>
      <c r="BD34" s="356">
        <f t="shared" si="11"/>
        <v>3.7071428571428569</v>
      </c>
      <c r="BE34" s="356"/>
      <c r="BF34" s="356"/>
      <c r="BG34"/>
      <c r="BH34"/>
    </row>
    <row r="35" spans="1:60" x14ac:dyDescent="0.25">
      <c r="A35" s="15" t="s">
        <v>487</v>
      </c>
      <c r="B35" s="346">
        <f t="shared" si="4"/>
        <v>1</v>
      </c>
      <c r="C35" s="346">
        <f t="shared" si="0"/>
        <v>0.14285714285714285</v>
      </c>
      <c r="D35" s="352">
        <f>4.85*B35+2*C35</f>
        <v>5.1357142857142852</v>
      </c>
      <c r="E35" s="347">
        <f t="shared" si="9"/>
        <v>1.25</v>
      </c>
      <c r="F35" s="347">
        <f>8*C35</f>
        <v>1.1428571428571428</v>
      </c>
      <c r="G35" s="354">
        <f t="shared" si="5"/>
        <v>1.4285714285714284</v>
      </c>
      <c r="H35" s="355">
        <f t="shared" si="6"/>
        <v>6.5642857142857132</v>
      </c>
      <c r="I35" s="356">
        <f t="shared" si="14"/>
        <v>6.5642857142857132</v>
      </c>
      <c r="J35" s="356">
        <f t="shared" si="14"/>
        <v>6.5642857142857132</v>
      </c>
      <c r="K35" s="356">
        <f t="shared" si="14"/>
        <v>6.5642857142857132</v>
      </c>
      <c r="L35" s="356">
        <f t="shared" si="14"/>
        <v>6.5642857142857132</v>
      </c>
      <c r="M35" s="356">
        <f t="shared" si="14"/>
        <v>6.5642857142857132</v>
      </c>
      <c r="N35" s="356">
        <f t="shared" si="14"/>
        <v>6.5642857142857132</v>
      </c>
      <c r="O35" s="356">
        <f t="shared" si="14"/>
        <v>6.5642857142857132</v>
      </c>
      <c r="P35" s="356">
        <f t="shared" si="14"/>
        <v>6.5642857142857132</v>
      </c>
      <c r="Q35" s="356">
        <f t="shared" si="14"/>
        <v>6.5642857142857132</v>
      </c>
      <c r="R35" s="356">
        <f t="shared" si="14"/>
        <v>6.5642857142857132</v>
      </c>
      <c r="S35" s="356">
        <f t="shared" si="14"/>
        <v>6.5642857142857132</v>
      </c>
      <c r="T35" s="356">
        <f t="shared" si="14"/>
        <v>6.5642857142857132</v>
      </c>
      <c r="U35" s="356">
        <f t="shared" si="14"/>
        <v>6.5642857142857132</v>
      </c>
      <c r="V35" s="356">
        <f t="shared" si="14"/>
        <v>6.5642857142857132</v>
      </c>
      <c r="W35" s="356">
        <f t="shared" si="14"/>
        <v>6.5642857142857132</v>
      </c>
      <c r="X35" s="356">
        <f t="shared" si="14"/>
        <v>6.5642857142857132</v>
      </c>
      <c r="Y35" s="356">
        <f t="shared" si="12"/>
        <v>6.5642857142857132</v>
      </c>
      <c r="Z35" s="356">
        <f t="shared" si="12"/>
        <v>6.5642857142857132</v>
      </c>
      <c r="AA35" s="356">
        <f t="shared" si="12"/>
        <v>6.5642857142857132</v>
      </c>
      <c r="AB35" s="356">
        <f t="shared" si="12"/>
        <v>6.5642857142857132</v>
      </c>
      <c r="AC35" s="356">
        <f t="shared" si="12"/>
        <v>6.5642857142857132</v>
      </c>
      <c r="AD35" s="356">
        <f t="shared" si="12"/>
        <v>6.5642857142857132</v>
      </c>
      <c r="AE35" s="356">
        <f t="shared" si="12"/>
        <v>6.5642857142857132</v>
      </c>
      <c r="AF35" s="356">
        <f t="shared" si="12"/>
        <v>6.5642857142857132</v>
      </c>
      <c r="AG35" s="356">
        <f t="shared" si="12"/>
        <v>6.5642857142857132</v>
      </c>
      <c r="AH35" s="356">
        <f t="shared" si="12"/>
        <v>6.5642857142857132</v>
      </c>
      <c r="AI35" s="356">
        <f t="shared" si="12"/>
        <v>6.5642857142857132</v>
      </c>
      <c r="AJ35" s="356">
        <f t="shared" si="12"/>
        <v>6.5642857142857132</v>
      </c>
      <c r="AK35" s="356">
        <f t="shared" si="12"/>
        <v>6.5642857142857132</v>
      </c>
      <c r="AL35" s="356">
        <f t="shared" si="12"/>
        <v>6.5642857142857132</v>
      </c>
      <c r="AM35" s="356">
        <f t="shared" si="12"/>
        <v>6.5642857142857132</v>
      </c>
      <c r="AN35" s="356">
        <f t="shared" si="13"/>
        <v>6.5642857142857132</v>
      </c>
      <c r="AO35" s="356">
        <f t="shared" si="13"/>
        <v>6.5642857142857132</v>
      </c>
      <c r="AP35" s="356">
        <f t="shared" si="13"/>
        <v>6.5642857142857132</v>
      </c>
      <c r="AQ35" s="356">
        <f t="shared" si="13"/>
        <v>6.5642857142857132</v>
      </c>
      <c r="AR35" s="356">
        <f t="shared" si="13"/>
        <v>6.5642857142857132</v>
      </c>
      <c r="AS35" s="356">
        <f t="shared" si="13"/>
        <v>6.5642857142857132</v>
      </c>
      <c r="AT35" s="356">
        <f t="shared" si="13"/>
        <v>6.5642857142857132</v>
      </c>
      <c r="AU35" s="356">
        <f t="shared" si="13"/>
        <v>6.5642857142857132</v>
      </c>
      <c r="AV35" s="356">
        <f t="shared" si="13"/>
        <v>6.5642857142857132</v>
      </c>
      <c r="AW35" s="356">
        <f t="shared" si="13"/>
        <v>6.5642857142857132</v>
      </c>
      <c r="AX35" s="356">
        <f t="shared" si="13"/>
        <v>6.5642857142857132</v>
      </c>
      <c r="AY35" s="356">
        <f t="shared" si="13"/>
        <v>6.5642857142857132</v>
      </c>
      <c r="AZ35" s="356">
        <f t="shared" si="13"/>
        <v>6.5642857142857132</v>
      </c>
      <c r="BA35" s="356">
        <f t="shared" si="13"/>
        <v>6.5642857142857132</v>
      </c>
      <c r="BB35" s="356">
        <f t="shared" si="13"/>
        <v>6.5642857142857132</v>
      </c>
      <c r="BC35" s="356">
        <f t="shared" ref="BC35:BD50" si="15">BB35</f>
        <v>6.5642857142857132</v>
      </c>
      <c r="BD35" s="356">
        <f t="shared" si="15"/>
        <v>6.5642857142857132</v>
      </c>
      <c r="BE35" s="356"/>
      <c r="BF35" s="356"/>
      <c r="BG35"/>
      <c r="BH35"/>
    </row>
    <row r="36" spans="1:60" x14ac:dyDescent="0.25">
      <c r="A36" s="15" t="s">
        <v>488</v>
      </c>
      <c r="B36" s="346">
        <f t="shared" si="4"/>
        <v>1</v>
      </c>
      <c r="C36" s="346">
        <f t="shared" si="0"/>
        <v>0.14285714285714285</v>
      </c>
      <c r="D36" s="352">
        <f>3.85*B36+2*C36</f>
        <v>4.1357142857142861</v>
      </c>
      <c r="E36" s="347">
        <f t="shared" si="9"/>
        <v>1.25</v>
      </c>
      <c r="F36" s="347">
        <f>4*C36</f>
        <v>0.5714285714285714</v>
      </c>
      <c r="G36" s="354">
        <f t="shared" si="5"/>
        <v>0.71428571428571419</v>
      </c>
      <c r="H36" s="355">
        <f t="shared" si="6"/>
        <v>4.8500000000000005</v>
      </c>
      <c r="I36" s="356">
        <f t="shared" si="14"/>
        <v>4.8500000000000005</v>
      </c>
      <c r="J36" s="356">
        <f t="shared" si="14"/>
        <v>4.8500000000000005</v>
      </c>
      <c r="K36" s="356">
        <f t="shared" si="14"/>
        <v>4.8500000000000005</v>
      </c>
      <c r="L36" s="356">
        <f t="shared" si="14"/>
        <v>4.8500000000000005</v>
      </c>
      <c r="M36" s="356">
        <f t="shared" si="14"/>
        <v>4.8500000000000005</v>
      </c>
      <c r="N36" s="356">
        <f t="shared" si="14"/>
        <v>4.8500000000000005</v>
      </c>
      <c r="O36" s="356">
        <f t="shared" si="14"/>
        <v>4.8500000000000005</v>
      </c>
      <c r="P36" s="356">
        <f t="shared" si="14"/>
        <v>4.8500000000000005</v>
      </c>
      <c r="Q36" s="356">
        <f t="shared" si="14"/>
        <v>4.8500000000000005</v>
      </c>
      <c r="R36" s="356">
        <f t="shared" si="14"/>
        <v>4.8500000000000005</v>
      </c>
      <c r="S36" s="356">
        <f t="shared" si="14"/>
        <v>4.8500000000000005</v>
      </c>
      <c r="T36" s="356">
        <f t="shared" si="14"/>
        <v>4.8500000000000005</v>
      </c>
      <c r="U36" s="356">
        <f t="shared" si="14"/>
        <v>4.8500000000000005</v>
      </c>
      <c r="V36" s="356">
        <f t="shared" si="14"/>
        <v>4.8500000000000005</v>
      </c>
      <c r="W36" s="356">
        <f t="shared" si="14"/>
        <v>4.8500000000000005</v>
      </c>
      <c r="X36" s="356">
        <f t="shared" ref="X36:AM51" si="16">W36</f>
        <v>4.8500000000000005</v>
      </c>
      <c r="Y36" s="356">
        <f t="shared" si="16"/>
        <v>4.8500000000000005</v>
      </c>
      <c r="Z36" s="356">
        <f t="shared" si="16"/>
        <v>4.8500000000000005</v>
      </c>
      <c r="AA36" s="356">
        <f t="shared" si="16"/>
        <v>4.8500000000000005</v>
      </c>
      <c r="AB36" s="356">
        <f t="shared" si="16"/>
        <v>4.8500000000000005</v>
      </c>
      <c r="AC36" s="356">
        <f t="shared" si="16"/>
        <v>4.8500000000000005</v>
      </c>
      <c r="AD36" s="356">
        <f t="shared" si="16"/>
        <v>4.8500000000000005</v>
      </c>
      <c r="AE36" s="356">
        <f t="shared" si="16"/>
        <v>4.8500000000000005</v>
      </c>
      <c r="AF36" s="356">
        <f t="shared" si="16"/>
        <v>4.8500000000000005</v>
      </c>
      <c r="AG36" s="356">
        <f t="shared" si="16"/>
        <v>4.8500000000000005</v>
      </c>
      <c r="AH36" s="356">
        <f t="shared" si="16"/>
        <v>4.8500000000000005</v>
      </c>
      <c r="AI36" s="356">
        <f t="shared" si="16"/>
        <v>4.8500000000000005</v>
      </c>
      <c r="AJ36" s="356">
        <f t="shared" si="16"/>
        <v>4.8500000000000005</v>
      </c>
      <c r="AK36" s="356">
        <f t="shared" si="16"/>
        <v>4.8500000000000005</v>
      </c>
      <c r="AL36" s="356">
        <f t="shared" si="16"/>
        <v>4.8500000000000005</v>
      </c>
      <c r="AM36" s="356">
        <f t="shared" si="16"/>
        <v>4.8500000000000005</v>
      </c>
      <c r="AN36" s="356">
        <f t="shared" ref="AN36:BC51" si="17">AM36</f>
        <v>4.8500000000000005</v>
      </c>
      <c r="AO36" s="356">
        <f t="shared" si="17"/>
        <v>4.8500000000000005</v>
      </c>
      <c r="AP36" s="356">
        <f t="shared" si="17"/>
        <v>4.8500000000000005</v>
      </c>
      <c r="AQ36" s="356">
        <f t="shared" si="17"/>
        <v>4.8500000000000005</v>
      </c>
      <c r="AR36" s="356">
        <f t="shared" si="17"/>
        <v>4.8500000000000005</v>
      </c>
      <c r="AS36" s="356">
        <f t="shared" si="17"/>
        <v>4.8500000000000005</v>
      </c>
      <c r="AT36" s="356">
        <f t="shared" si="17"/>
        <v>4.8500000000000005</v>
      </c>
      <c r="AU36" s="356">
        <f t="shared" si="17"/>
        <v>4.8500000000000005</v>
      </c>
      <c r="AV36" s="356">
        <f t="shared" si="17"/>
        <v>4.8500000000000005</v>
      </c>
      <c r="AW36" s="356">
        <f t="shared" si="17"/>
        <v>4.8500000000000005</v>
      </c>
      <c r="AX36" s="356">
        <f t="shared" si="17"/>
        <v>4.8500000000000005</v>
      </c>
      <c r="AY36" s="356">
        <f t="shared" si="17"/>
        <v>4.8500000000000005</v>
      </c>
      <c r="AZ36" s="356">
        <f t="shared" si="17"/>
        <v>4.8500000000000005</v>
      </c>
      <c r="BA36" s="356">
        <f t="shared" si="17"/>
        <v>4.8500000000000005</v>
      </c>
      <c r="BB36" s="356">
        <f t="shared" si="17"/>
        <v>4.8500000000000005</v>
      </c>
      <c r="BC36" s="356">
        <f t="shared" si="17"/>
        <v>4.8500000000000005</v>
      </c>
      <c r="BD36" s="356">
        <f t="shared" si="15"/>
        <v>4.8500000000000005</v>
      </c>
      <c r="BE36" s="356"/>
      <c r="BF36" s="356"/>
      <c r="BG36"/>
      <c r="BH36"/>
    </row>
    <row r="37" spans="1:60" x14ac:dyDescent="0.25">
      <c r="A37" s="15">
        <v>1</v>
      </c>
      <c r="B37" s="346">
        <f t="shared" si="4"/>
        <v>1</v>
      </c>
      <c r="C37" s="346">
        <f t="shared" si="0"/>
        <v>0.14285714285714285</v>
      </c>
      <c r="D37" s="352">
        <f>2.42*B37+2*C37</f>
        <v>2.7057142857142855</v>
      </c>
      <c r="E37" s="347">
        <f t="shared" si="9"/>
        <v>1.25</v>
      </c>
      <c r="F37" s="347">
        <v>0</v>
      </c>
      <c r="G37" s="354">
        <f t="shared" si="5"/>
        <v>0</v>
      </c>
      <c r="H37" s="355">
        <f t="shared" si="6"/>
        <v>2.7057142857142855</v>
      </c>
      <c r="I37" s="356">
        <f t="shared" ref="I37:X51" si="18">H37</f>
        <v>2.7057142857142855</v>
      </c>
      <c r="J37" s="356">
        <f t="shared" si="18"/>
        <v>2.7057142857142855</v>
      </c>
      <c r="K37" s="356">
        <f t="shared" si="18"/>
        <v>2.7057142857142855</v>
      </c>
      <c r="L37" s="356">
        <f t="shared" si="18"/>
        <v>2.7057142857142855</v>
      </c>
      <c r="M37" s="356">
        <f t="shared" si="18"/>
        <v>2.7057142857142855</v>
      </c>
      <c r="N37" s="356">
        <f t="shared" si="18"/>
        <v>2.7057142857142855</v>
      </c>
      <c r="O37" s="356">
        <f t="shared" si="18"/>
        <v>2.7057142857142855</v>
      </c>
      <c r="P37" s="356">
        <f t="shared" si="18"/>
        <v>2.7057142857142855</v>
      </c>
      <c r="Q37" s="356">
        <f t="shared" si="18"/>
        <v>2.7057142857142855</v>
      </c>
      <c r="R37" s="356">
        <f t="shared" si="18"/>
        <v>2.7057142857142855</v>
      </c>
      <c r="S37" s="356">
        <f t="shared" si="18"/>
        <v>2.7057142857142855</v>
      </c>
      <c r="T37" s="356">
        <f t="shared" si="18"/>
        <v>2.7057142857142855</v>
      </c>
      <c r="U37" s="356">
        <f t="shared" si="18"/>
        <v>2.7057142857142855</v>
      </c>
      <c r="V37" s="356">
        <f t="shared" si="18"/>
        <v>2.7057142857142855</v>
      </c>
      <c r="W37" s="356">
        <f t="shared" si="18"/>
        <v>2.7057142857142855</v>
      </c>
      <c r="X37" s="356">
        <f t="shared" si="18"/>
        <v>2.7057142857142855</v>
      </c>
      <c r="Y37" s="356">
        <f t="shared" si="16"/>
        <v>2.7057142857142855</v>
      </c>
      <c r="Z37" s="356">
        <f t="shared" si="16"/>
        <v>2.7057142857142855</v>
      </c>
      <c r="AA37" s="356">
        <f t="shared" si="16"/>
        <v>2.7057142857142855</v>
      </c>
      <c r="AB37" s="356">
        <f t="shared" si="16"/>
        <v>2.7057142857142855</v>
      </c>
      <c r="AC37" s="356">
        <f t="shared" si="16"/>
        <v>2.7057142857142855</v>
      </c>
      <c r="AD37" s="356">
        <f t="shared" si="16"/>
        <v>2.7057142857142855</v>
      </c>
      <c r="AE37" s="356">
        <f t="shared" si="16"/>
        <v>2.7057142857142855</v>
      </c>
      <c r="AF37" s="356">
        <f t="shared" si="16"/>
        <v>2.7057142857142855</v>
      </c>
      <c r="AG37" s="356">
        <f t="shared" si="16"/>
        <v>2.7057142857142855</v>
      </c>
      <c r="AH37" s="356">
        <f t="shared" si="16"/>
        <v>2.7057142857142855</v>
      </c>
      <c r="AI37" s="356">
        <f t="shared" si="16"/>
        <v>2.7057142857142855</v>
      </c>
      <c r="AJ37" s="356">
        <f t="shared" si="16"/>
        <v>2.7057142857142855</v>
      </c>
      <c r="AK37" s="356">
        <f t="shared" si="16"/>
        <v>2.7057142857142855</v>
      </c>
      <c r="AL37" s="356">
        <f t="shared" si="16"/>
        <v>2.7057142857142855</v>
      </c>
      <c r="AM37" s="356">
        <f t="shared" si="16"/>
        <v>2.7057142857142855</v>
      </c>
      <c r="AN37" s="356">
        <f t="shared" si="17"/>
        <v>2.7057142857142855</v>
      </c>
      <c r="AO37" s="356">
        <f t="shared" si="17"/>
        <v>2.7057142857142855</v>
      </c>
      <c r="AP37" s="356">
        <f t="shared" si="17"/>
        <v>2.7057142857142855</v>
      </c>
      <c r="AQ37" s="356">
        <f t="shared" si="17"/>
        <v>2.7057142857142855</v>
      </c>
      <c r="AR37" s="356">
        <f t="shared" si="17"/>
        <v>2.7057142857142855</v>
      </c>
      <c r="AS37" s="356">
        <f t="shared" si="17"/>
        <v>2.7057142857142855</v>
      </c>
      <c r="AT37" s="356">
        <f t="shared" si="17"/>
        <v>2.7057142857142855</v>
      </c>
      <c r="AU37" s="356">
        <f t="shared" si="17"/>
        <v>2.7057142857142855</v>
      </c>
      <c r="AV37" s="356">
        <f t="shared" si="17"/>
        <v>2.7057142857142855</v>
      </c>
      <c r="AW37" s="356">
        <f t="shared" si="17"/>
        <v>2.7057142857142855</v>
      </c>
      <c r="AX37" s="356">
        <f t="shared" si="17"/>
        <v>2.7057142857142855</v>
      </c>
      <c r="AY37" s="356">
        <f t="shared" si="17"/>
        <v>2.7057142857142855</v>
      </c>
      <c r="AZ37" s="356">
        <f t="shared" si="17"/>
        <v>2.7057142857142855</v>
      </c>
      <c r="BA37" s="356">
        <f t="shared" si="17"/>
        <v>2.7057142857142855</v>
      </c>
      <c r="BB37" s="356">
        <f t="shared" si="17"/>
        <v>2.7057142857142855</v>
      </c>
      <c r="BC37" s="356">
        <f t="shared" si="17"/>
        <v>2.7057142857142855</v>
      </c>
      <c r="BD37" s="356">
        <f t="shared" si="15"/>
        <v>2.7057142857142855</v>
      </c>
      <c r="BE37" s="356"/>
      <c r="BF37" s="356"/>
      <c r="BG37"/>
      <c r="BH37"/>
    </row>
    <row r="38" spans="1:60" x14ac:dyDescent="0.25">
      <c r="A38" s="15">
        <v>2</v>
      </c>
      <c r="B38" s="346">
        <f t="shared" si="4"/>
        <v>1</v>
      </c>
      <c r="C38" s="346">
        <f t="shared" si="0"/>
        <v>0.14285714285714285</v>
      </c>
      <c r="D38" s="352">
        <f>2.57*B38+2*C38</f>
        <v>2.8557142857142854</v>
      </c>
      <c r="E38" s="347">
        <f t="shared" si="9"/>
        <v>1.25</v>
      </c>
      <c r="F38" s="347">
        <f>4*C38</f>
        <v>0.5714285714285714</v>
      </c>
      <c r="G38" s="354">
        <f t="shared" si="5"/>
        <v>0.71428571428571419</v>
      </c>
      <c r="H38" s="355">
        <f t="shared" si="6"/>
        <v>3.5699999999999994</v>
      </c>
      <c r="I38" s="356">
        <f t="shared" si="18"/>
        <v>3.5699999999999994</v>
      </c>
      <c r="J38" s="356">
        <f t="shared" si="18"/>
        <v>3.5699999999999994</v>
      </c>
      <c r="K38" s="356">
        <f t="shared" si="18"/>
        <v>3.5699999999999994</v>
      </c>
      <c r="L38" s="356">
        <f t="shared" si="18"/>
        <v>3.5699999999999994</v>
      </c>
      <c r="M38" s="356">
        <f t="shared" si="18"/>
        <v>3.5699999999999994</v>
      </c>
      <c r="N38" s="356">
        <f t="shared" si="18"/>
        <v>3.5699999999999994</v>
      </c>
      <c r="O38" s="356">
        <f t="shared" si="18"/>
        <v>3.5699999999999994</v>
      </c>
      <c r="P38" s="356">
        <f t="shared" si="18"/>
        <v>3.5699999999999994</v>
      </c>
      <c r="Q38" s="356">
        <f t="shared" si="18"/>
        <v>3.5699999999999994</v>
      </c>
      <c r="R38" s="356">
        <f t="shared" si="18"/>
        <v>3.5699999999999994</v>
      </c>
      <c r="S38" s="356">
        <f t="shared" si="18"/>
        <v>3.5699999999999994</v>
      </c>
      <c r="T38" s="356">
        <f t="shared" si="18"/>
        <v>3.5699999999999994</v>
      </c>
      <c r="U38" s="356">
        <f t="shared" si="18"/>
        <v>3.5699999999999994</v>
      </c>
      <c r="V38" s="356">
        <f t="shared" si="18"/>
        <v>3.5699999999999994</v>
      </c>
      <c r="W38" s="356">
        <f t="shared" si="18"/>
        <v>3.5699999999999994</v>
      </c>
      <c r="X38" s="356">
        <f t="shared" si="18"/>
        <v>3.5699999999999994</v>
      </c>
      <c r="Y38" s="356">
        <f t="shared" si="16"/>
        <v>3.5699999999999994</v>
      </c>
      <c r="Z38" s="356">
        <f t="shared" si="16"/>
        <v>3.5699999999999994</v>
      </c>
      <c r="AA38" s="356">
        <f t="shared" si="16"/>
        <v>3.5699999999999994</v>
      </c>
      <c r="AB38" s="356">
        <f t="shared" si="16"/>
        <v>3.5699999999999994</v>
      </c>
      <c r="AC38" s="356">
        <f t="shared" si="16"/>
        <v>3.5699999999999994</v>
      </c>
      <c r="AD38" s="356">
        <f t="shared" si="16"/>
        <v>3.5699999999999994</v>
      </c>
      <c r="AE38" s="356">
        <f t="shared" si="16"/>
        <v>3.5699999999999994</v>
      </c>
      <c r="AF38" s="356">
        <f t="shared" si="16"/>
        <v>3.5699999999999994</v>
      </c>
      <c r="AG38" s="356">
        <f t="shared" si="16"/>
        <v>3.5699999999999994</v>
      </c>
      <c r="AH38" s="356">
        <f t="shared" si="16"/>
        <v>3.5699999999999994</v>
      </c>
      <c r="AI38" s="356">
        <f t="shared" si="16"/>
        <v>3.5699999999999994</v>
      </c>
      <c r="AJ38" s="356">
        <f t="shared" si="16"/>
        <v>3.5699999999999994</v>
      </c>
      <c r="AK38" s="356">
        <f t="shared" si="16"/>
        <v>3.5699999999999994</v>
      </c>
      <c r="AL38" s="356">
        <f t="shared" si="16"/>
        <v>3.5699999999999994</v>
      </c>
      <c r="AM38" s="356">
        <f t="shared" si="16"/>
        <v>3.5699999999999994</v>
      </c>
      <c r="AN38" s="356">
        <f t="shared" si="17"/>
        <v>3.5699999999999994</v>
      </c>
      <c r="AO38" s="356">
        <f t="shared" si="17"/>
        <v>3.5699999999999994</v>
      </c>
      <c r="AP38" s="356">
        <f t="shared" si="17"/>
        <v>3.5699999999999994</v>
      </c>
      <c r="AQ38" s="356">
        <f t="shared" si="17"/>
        <v>3.5699999999999994</v>
      </c>
      <c r="AR38" s="356">
        <f t="shared" si="17"/>
        <v>3.5699999999999994</v>
      </c>
      <c r="AS38" s="356">
        <f t="shared" si="17"/>
        <v>3.5699999999999994</v>
      </c>
      <c r="AT38" s="356">
        <f t="shared" si="17"/>
        <v>3.5699999999999994</v>
      </c>
      <c r="AU38" s="356">
        <f t="shared" si="17"/>
        <v>3.5699999999999994</v>
      </c>
      <c r="AV38" s="356">
        <f t="shared" si="17"/>
        <v>3.5699999999999994</v>
      </c>
      <c r="AW38" s="356">
        <f t="shared" si="17"/>
        <v>3.5699999999999994</v>
      </c>
      <c r="AX38" s="356">
        <f t="shared" si="17"/>
        <v>3.5699999999999994</v>
      </c>
      <c r="AY38" s="356">
        <f t="shared" si="17"/>
        <v>3.5699999999999994</v>
      </c>
      <c r="AZ38" s="356">
        <f t="shared" si="17"/>
        <v>3.5699999999999994</v>
      </c>
      <c r="BA38" s="356">
        <f t="shared" si="17"/>
        <v>3.5699999999999994</v>
      </c>
      <c r="BB38" s="356">
        <f t="shared" si="17"/>
        <v>3.5699999999999994</v>
      </c>
      <c r="BC38" s="356">
        <f t="shared" si="17"/>
        <v>3.5699999999999994</v>
      </c>
      <c r="BD38" s="356">
        <f t="shared" si="15"/>
        <v>3.5699999999999994</v>
      </c>
      <c r="BE38" s="356"/>
      <c r="BF38" s="356"/>
      <c r="BG38"/>
      <c r="BH38"/>
    </row>
    <row r="39" spans="1:60" x14ac:dyDescent="0.25">
      <c r="A39" s="15">
        <v>3</v>
      </c>
      <c r="B39" s="346">
        <f t="shared" si="4"/>
        <v>1</v>
      </c>
      <c r="C39" s="346">
        <f t="shared" si="0"/>
        <v>0.14285714285714285</v>
      </c>
      <c r="D39" s="352">
        <f>1.14*B39+3*C39</f>
        <v>1.5685714285714285</v>
      </c>
      <c r="E39" s="347">
        <f t="shared" si="9"/>
        <v>1.25</v>
      </c>
      <c r="F39" s="347">
        <f>12*C39</f>
        <v>1.7142857142857142</v>
      </c>
      <c r="G39" s="354">
        <f t="shared" si="5"/>
        <v>2.1428571428571428</v>
      </c>
      <c r="H39" s="355">
        <f t="shared" si="6"/>
        <v>3.7114285714285713</v>
      </c>
      <c r="I39" s="356">
        <f t="shared" si="18"/>
        <v>3.7114285714285713</v>
      </c>
      <c r="J39" s="356">
        <f t="shared" si="18"/>
        <v>3.7114285714285713</v>
      </c>
      <c r="K39" s="356">
        <f t="shared" si="18"/>
        <v>3.7114285714285713</v>
      </c>
      <c r="L39" s="356">
        <f t="shared" si="18"/>
        <v>3.7114285714285713</v>
      </c>
      <c r="M39" s="356">
        <f t="shared" si="18"/>
        <v>3.7114285714285713</v>
      </c>
      <c r="N39" s="356">
        <f t="shared" si="18"/>
        <v>3.7114285714285713</v>
      </c>
      <c r="O39" s="356">
        <f t="shared" si="18"/>
        <v>3.7114285714285713</v>
      </c>
      <c r="P39" s="356">
        <f t="shared" si="18"/>
        <v>3.7114285714285713</v>
      </c>
      <c r="Q39" s="356">
        <f t="shared" si="18"/>
        <v>3.7114285714285713</v>
      </c>
      <c r="R39" s="356">
        <f t="shared" si="18"/>
        <v>3.7114285714285713</v>
      </c>
      <c r="S39" s="356">
        <f t="shared" si="18"/>
        <v>3.7114285714285713</v>
      </c>
      <c r="T39" s="356">
        <f t="shared" si="18"/>
        <v>3.7114285714285713</v>
      </c>
      <c r="U39" s="356">
        <f t="shared" si="18"/>
        <v>3.7114285714285713</v>
      </c>
      <c r="V39" s="356">
        <f t="shared" si="18"/>
        <v>3.7114285714285713</v>
      </c>
      <c r="W39" s="356">
        <f t="shared" si="18"/>
        <v>3.7114285714285713</v>
      </c>
      <c r="X39" s="356">
        <f t="shared" si="18"/>
        <v>3.7114285714285713</v>
      </c>
      <c r="Y39" s="356">
        <f t="shared" si="16"/>
        <v>3.7114285714285713</v>
      </c>
      <c r="Z39" s="356">
        <f t="shared" si="16"/>
        <v>3.7114285714285713</v>
      </c>
      <c r="AA39" s="356">
        <f t="shared" si="16"/>
        <v>3.7114285714285713</v>
      </c>
      <c r="AB39" s="356">
        <f t="shared" si="16"/>
        <v>3.7114285714285713</v>
      </c>
      <c r="AC39" s="356">
        <f t="shared" si="16"/>
        <v>3.7114285714285713</v>
      </c>
      <c r="AD39" s="356">
        <f t="shared" si="16"/>
        <v>3.7114285714285713</v>
      </c>
      <c r="AE39" s="356">
        <f t="shared" si="16"/>
        <v>3.7114285714285713</v>
      </c>
      <c r="AF39" s="356">
        <f t="shared" si="16"/>
        <v>3.7114285714285713</v>
      </c>
      <c r="AG39" s="356">
        <f t="shared" si="16"/>
        <v>3.7114285714285713</v>
      </c>
      <c r="AH39" s="356">
        <f t="shared" si="16"/>
        <v>3.7114285714285713</v>
      </c>
      <c r="AI39" s="356">
        <f t="shared" si="16"/>
        <v>3.7114285714285713</v>
      </c>
      <c r="AJ39" s="356">
        <f t="shared" si="16"/>
        <v>3.7114285714285713</v>
      </c>
      <c r="AK39" s="356">
        <f t="shared" si="16"/>
        <v>3.7114285714285713</v>
      </c>
      <c r="AL39" s="356">
        <f t="shared" si="16"/>
        <v>3.7114285714285713</v>
      </c>
      <c r="AM39" s="356">
        <f t="shared" si="16"/>
        <v>3.7114285714285713</v>
      </c>
      <c r="AN39" s="356">
        <f t="shared" si="17"/>
        <v>3.7114285714285713</v>
      </c>
      <c r="AO39" s="356">
        <f t="shared" si="17"/>
        <v>3.7114285714285713</v>
      </c>
      <c r="AP39" s="356">
        <f t="shared" si="17"/>
        <v>3.7114285714285713</v>
      </c>
      <c r="AQ39" s="356">
        <f t="shared" si="17"/>
        <v>3.7114285714285713</v>
      </c>
      <c r="AR39" s="356">
        <f t="shared" si="17"/>
        <v>3.7114285714285713</v>
      </c>
      <c r="AS39" s="356">
        <f t="shared" si="17"/>
        <v>3.7114285714285713</v>
      </c>
      <c r="AT39" s="356">
        <f t="shared" si="17"/>
        <v>3.7114285714285713</v>
      </c>
      <c r="AU39" s="356">
        <f t="shared" si="17"/>
        <v>3.7114285714285713</v>
      </c>
      <c r="AV39" s="356">
        <f t="shared" si="17"/>
        <v>3.7114285714285713</v>
      </c>
      <c r="AW39" s="356">
        <f t="shared" si="17"/>
        <v>3.7114285714285713</v>
      </c>
      <c r="AX39" s="356">
        <f t="shared" si="17"/>
        <v>3.7114285714285713</v>
      </c>
      <c r="AY39" s="356">
        <f t="shared" si="17"/>
        <v>3.7114285714285713</v>
      </c>
      <c r="AZ39" s="356">
        <f t="shared" si="17"/>
        <v>3.7114285714285713</v>
      </c>
      <c r="BA39" s="356">
        <f t="shared" si="17"/>
        <v>3.7114285714285713</v>
      </c>
      <c r="BB39" s="356">
        <f t="shared" si="17"/>
        <v>3.7114285714285713</v>
      </c>
      <c r="BC39" s="356">
        <f t="shared" si="17"/>
        <v>3.7114285714285713</v>
      </c>
      <c r="BD39" s="356">
        <f t="shared" si="15"/>
        <v>3.7114285714285713</v>
      </c>
      <c r="BE39" s="356"/>
      <c r="BF39" s="356"/>
      <c r="BG39"/>
      <c r="BH39"/>
    </row>
    <row r="40" spans="1:60" x14ac:dyDescent="0.25">
      <c r="A40" s="15">
        <v>4</v>
      </c>
      <c r="B40" s="346">
        <f t="shared" si="4"/>
        <v>1</v>
      </c>
      <c r="C40" s="346">
        <f t="shared" si="0"/>
        <v>0.14285714285714285</v>
      </c>
      <c r="D40" s="352">
        <f>3.42*B40+2*C40</f>
        <v>3.7057142857142855</v>
      </c>
      <c r="E40" s="347">
        <f t="shared" si="9"/>
        <v>1.25</v>
      </c>
      <c r="F40" s="347">
        <v>0</v>
      </c>
      <c r="G40" s="354">
        <f t="shared" si="5"/>
        <v>0</v>
      </c>
      <c r="H40" s="355">
        <f t="shared" si="6"/>
        <v>3.7057142857142855</v>
      </c>
      <c r="I40" s="356">
        <f t="shared" si="18"/>
        <v>3.7057142857142855</v>
      </c>
      <c r="J40" s="356">
        <f t="shared" si="18"/>
        <v>3.7057142857142855</v>
      </c>
      <c r="K40" s="356">
        <f t="shared" si="18"/>
        <v>3.7057142857142855</v>
      </c>
      <c r="L40" s="356">
        <f t="shared" si="18"/>
        <v>3.7057142857142855</v>
      </c>
      <c r="M40" s="356">
        <f t="shared" si="18"/>
        <v>3.7057142857142855</v>
      </c>
      <c r="N40" s="356">
        <f t="shared" si="18"/>
        <v>3.7057142857142855</v>
      </c>
      <c r="O40" s="356">
        <f t="shared" si="18"/>
        <v>3.7057142857142855</v>
      </c>
      <c r="P40" s="356">
        <f t="shared" si="18"/>
        <v>3.7057142857142855</v>
      </c>
      <c r="Q40" s="356">
        <f t="shared" si="18"/>
        <v>3.7057142857142855</v>
      </c>
      <c r="R40" s="356">
        <f t="shared" si="18"/>
        <v>3.7057142857142855</v>
      </c>
      <c r="S40" s="356">
        <f t="shared" si="18"/>
        <v>3.7057142857142855</v>
      </c>
      <c r="T40" s="356">
        <f t="shared" si="18"/>
        <v>3.7057142857142855</v>
      </c>
      <c r="U40" s="356">
        <f t="shared" si="18"/>
        <v>3.7057142857142855</v>
      </c>
      <c r="V40" s="356">
        <f t="shared" si="18"/>
        <v>3.7057142857142855</v>
      </c>
      <c r="W40" s="356">
        <f t="shared" si="18"/>
        <v>3.7057142857142855</v>
      </c>
      <c r="X40" s="356">
        <f t="shared" si="18"/>
        <v>3.7057142857142855</v>
      </c>
      <c r="Y40" s="356">
        <f t="shared" si="16"/>
        <v>3.7057142857142855</v>
      </c>
      <c r="Z40" s="356">
        <f t="shared" si="16"/>
        <v>3.7057142857142855</v>
      </c>
      <c r="AA40" s="356">
        <f t="shared" si="16"/>
        <v>3.7057142857142855</v>
      </c>
      <c r="AB40" s="356">
        <f t="shared" si="16"/>
        <v>3.7057142857142855</v>
      </c>
      <c r="AC40" s="356">
        <f t="shared" si="16"/>
        <v>3.7057142857142855</v>
      </c>
      <c r="AD40" s="356">
        <f t="shared" si="16"/>
        <v>3.7057142857142855</v>
      </c>
      <c r="AE40" s="356">
        <f t="shared" si="16"/>
        <v>3.7057142857142855</v>
      </c>
      <c r="AF40" s="356">
        <f t="shared" si="16"/>
        <v>3.7057142857142855</v>
      </c>
      <c r="AG40" s="356">
        <f t="shared" si="16"/>
        <v>3.7057142857142855</v>
      </c>
      <c r="AH40" s="356">
        <f t="shared" si="16"/>
        <v>3.7057142857142855</v>
      </c>
      <c r="AI40" s="356">
        <f t="shared" si="16"/>
        <v>3.7057142857142855</v>
      </c>
      <c r="AJ40" s="356">
        <f t="shared" si="16"/>
        <v>3.7057142857142855</v>
      </c>
      <c r="AK40" s="356">
        <f t="shared" si="16"/>
        <v>3.7057142857142855</v>
      </c>
      <c r="AL40" s="356">
        <f t="shared" si="16"/>
        <v>3.7057142857142855</v>
      </c>
      <c r="AM40" s="356">
        <f t="shared" si="16"/>
        <v>3.7057142857142855</v>
      </c>
      <c r="AN40" s="356">
        <f t="shared" si="17"/>
        <v>3.7057142857142855</v>
      </c>
      <c r="AO40" s="356">
        <f t="shared" si="17"/>
        <v>3.7057142857142855</v>
      </c>
      <c r="AP40" s="356">
        <f t="shared" si="17"/>
        <v>3.7057142857142855</v>
      </c>
      <c r="AQ40" s="356">
        <f t="shared" si="17"/>
        <v>3.7057142857142855</v>
      </c>
      <c r="AR40" s="356">
        <f t="shared" si="17"/>
        <v>3.7057142857142855</v>
      </c>
      <c r="AS40" s="356">
        <f t="shared" si="17"/>
        <v>3.7057142857142855</v>
      </c>
      <c r="AT40" s="356">
        <f t="shared" si="17"/>
        <v>3.7057142857142855</v>
      </c>
      <c r="AU40" s="356">
        <f t="shared" si="17"/>
        <v>3.7057142857142855</v>
      </c>
      <c r="AV40" s="356">
        <f t="shared" si="17"/>
        <v>3.7057142857142855</v>
      </c>
      <c r="AW40" s="356">
        <f t="shared" si="17"/>
        <v>3.7057142857142855</v>
      </c>
      <c r="AX40" s="356">
        <f t="shared" si="17"/>
        <v>3.7057142857142855</v>
      </c>
      <c r="AY40" s="356">
        <f t="shared" si="17"/>
        <v>3.7057142857142855</v>
      </c>
      <c r="AZ40" s="356">
        <f t="shared" si="17"/>
        <v>3.7057142857142855</v>
      </c>
      <c r="BA40" s="356">
        <f t="shared" si="17"/>
        <v>3.7057142857142855</v>
      </c>
      <c r="BB40" s="356">
        <f t="shared" si="17"/>
        <v>3.7057142857142855</v>
      </c>
      <c r="BC40" s="356">
        <f t="shared" si="17"/>
        <v>3.7057142857142855</v>
      </c>
      <c r="BD40" s="356">
        <f t="shared" si="15"/>
        <v>3.7057142857142855</v>
      </c>
      <c r="BE40" s="356"/>
      <c r="BF40" s="356"/>
      <c r="BG40"/>
      <c r="BH40"/>
    </row>
    <row r="41" spans="1:60" x14ac:dyDescent="0.25">
      <c r="A41" s="15">
        <v>5</v>
      </c>
      <c r="B41" s="346">
        <f t="shared" si="4"/>
        <v>1</v>
      </c>
      <c r="C41" s="346">
        <f t="shared" si="0"/>
        <v>0.14285714285714285</v>
      </c>
      <c r="D41" s="352">
        <f>2.14*B41+2*C41</f>
        <v>2.4257142857142857</v>
      </c>
      <c r="E41" s="347">
        <f t="shared" si="9"/>
        <v>1.25</v>
      </c>
      <c r="F41" s="347">
        <f>5*C41</f>
        <v>0.71428571428571419</v>
      </c>
      <c r="G41" s="354">
        <f t="shared" si="5"/>
        <v>0.89285714285714279</v>
      </c>
      <c r="H41" s="355">
        <f t="shared" si="6"/>
        <v>3.3185714285714285</v>
      </c>
      <c r="I41" s="356">
        <f t="shared" si="18"/>
        <v>3.3185714285714285</v>
      </c>
      <c r="J41" s="356">
        <f t="shared" si="18"/>
        <v>3.3185714285714285</v>
      </c>
      <c r="K41" s="356">
        <f t="shared" si="18"/>
        <v>3.3185714285714285</v>
      </c>
      <c r="L41" s="356">
        <f t="shared" si="18"/>
        <v>3.3185714285714285</v>
      </c>
      <c r="M41" s="356">
        <f t="shared" si="18"/>
        <v>3.3185714285714285</v>
      </c>
      <c r="N41" s="356">
        <f t="shared" si="18"/>
        <v>3.3185714285714285</v>
      </c>
      <c r="O41" s="356">
        <f t="shared" si="18"/>
        <v>3.3185714285714285</v>
      </c>
      <c r="P41" s="356">
        <f t="shared" si="18"/>
        <v>3.3185714285714285</v>
      </c>
      <c r="Q41" s="356">
        <f t="shared" si="18"/>
        <v>3.3185714285714285</v>
      </c>
      <c r="R41" s="356">
        <f t="shared" si="18"/>
        <v>3.3185714285714285</v>
      </c>
      <c r="S41" s="356">
        <f t="shared" si="18"/>
        <v>3.3185714285714285</v>
      </c>
      <c r="T41" s="356">
        <f t="shared" si="18"/>
        <v>3.3185714285714285</v>
      </c>
      <c r="U41" s="356">
        <f t="shared" si="18"/>
        <v>3.3185714285714285</v>
      </c>
      <c r="V41" s="356">
        <f t="shared" si="18"/>
        <v>3.3185714285714285</v>
      </c>
      <c r="W41" s="356">
        <f t="shared" si="18"/>
        <v>3.3185714285714285</v>
      </c>
      <c r="X41" s="356">
        <f t="shared" si="18"/>
        <v>3.3185714285714285</v>
      </c>
      <c r="Y41" s="356">
        <f t="shared" si="16"/>
        <v>3.3185714285714285</v>
      </c>
      <c r="Z41" s="356">
        <f t="shared" si="16"/>
        <v>3.3185714285714285</v>
      </c>
      <c r="AA41" s="356">
        <f t="shared" si="16"/>
        <v>3.3185714285714285</v>
      </c>
      <c r="AB41" s="356">
        <f t="shared" si="16"/>
        <v>3.3185714285714285</v>
      </c>
      <c r="AC41" s="356">
        <f t="shared" si="16"/>
        <v>3.3185714285714285</v>
      </c>
      <c r="AD41" s="356">
        <f t="shared" si="16"/>
        <v>3.3185714285714285</v>
      </c>
      <c r="AE41" s="356">
        <f t="shared" si="16"/>
        <v>3.3185714285714285</v>
      </c>
      <c r="AF41" s="356">
        <f t="shared" si="16"/>
        <v>3.3185714285714285</v>
      </c>
      <c r="AG41" s="356">
        <f t="shared" si="16"/>
        <v>3.3185714285714285</v>
      </c>
      <c r="AH41" s="356">
        <f t="shared" si="16"/>
        <v>3.3185714285714285</v>
      </c>
      <c r="AI41" s="356">
        <f t="shared" si="16"/>
        <v>3.3185714285714285</v>
      </c>
      <c r="AJ41" s="356">
        <f t="shared" si="16"/>
        <v>3.3185714285714285</v>
      </c>
      <c r="AK41" s="356">
        <f t="shared" si="16"/>
        <v>3.3185714285714285</v>
      </c>
      <c r="AL41" s="356">
        <f t="shared" si="16"/>
        <v>3.3185714285714285</v>
      </c>
      <c r="AM41" s="356">
        <f t="shared" si="16"/>
        <v>3.3185714285714285</v>
      </c>
      <c r="AN41" s="356">
        <f t="shared" si="17"/>
        <v>3.3185714285714285</v>
      </c>
      <c r="AO41" s="356">
        <f t="shared" si="17"/>
        <v>3.3185714285714285</v>
      </c>
      <c r="AP41" s="356">
        <f t="shared" si="17"/>
        <v>3.3185714285714285</v>
      </c>
      <c r="AQ41" s="356">
        <f t="shared" si="17"/>
        <v>3.3185714285714285</v>
      </c>
      <c r="AR41" s="356">
        <f t="shared" si="17"/>
        <v>3.3185714285714285</v>
      </c>
      <c r="AS41" s="356">
        <f t="shared" si="17"/>
        <v>3.3185714285714285</v>
      </c>
      <c r="AT41" s="356">
        <f t="shared" si="17"/>
        <v>3.3185714285714285</v>
      </c>
      <c r="AU41" s="356">
        <f t="shared" si="17"/>
        <v>3.3185714285714285</v>
      </c>
      <c r="AV41" s="356">
        <f t="shared" si="17"/>
        <v>3.3185714285714285</v>
      </c>
      <c r="AW41" s="356">
        <f t="shared" si="17"/>
        <v>3.3185714285714285</v>
      </c>
      <c r="AX41" s="356">
        <f t="shared" si="17"/>
        <v>3.3185714285714285</v>
      </c>
      <c r="AY41" s="356">
        <f t="shared" si="17"/>
        <v>3.3185714285714285</v>
      </c>
      <c r="AZ41" s="356">
        <f t="shared" si="17"/>
        <v>3.3185714285714285</v>
      </c>
      <c r="BA41" s="356">
        <f t="shared" si="17"/>
        <v>3.3185714285714285</v>
      </c>
      <c r="BB41" s="356">
        <f t="shared" si="17"/>
        <v>3.3185714285714285</v>
      </c>
      <c r="BC41" s="356">
        <f t="shared" si="17"/>
        <v>3.3185714285714285</v>
      </c>
      <c r="BD41" s="356">
        <f t="shared" si="15"/>
        <v>3.3185714285714285</v>
      </c>
      <c r="BE41" s="356"/>
      <c r="BF41" s="356"/>
      <c r="BG41"/>
      <c r="BH41"/>
    </row>
    <row r="42" spans="1:60" x14ac:dyDescent="0.25">
      <c r="A42" s="15">
        <v>6</v>
      </c>
      <c r="B42" s="346">
        <f t="shared" si="4"/>
        <v>1</v>
      </c>
      <c r="C42" s="346">
        <f t="shared" si="0"/>
        <v>0.14285714285714285</v>
      </c>
      <c r="D42" s="352">
        <f>2*B42+C42</f>
        <v>2.1428571428571428</v>
      </c>
      <c r="E42" s="347">
        <f t="shared" si="9"/>
        <v>1.25</v>
      </c>
      <c r="F42" s="347">
        <f>10*C42</f>
        <v>1.4285714285714284</v>
      </c>
      <c r="G42" s="354">
        <f t="shared" si="5"/>
        <v>1.7857142857142856</v>
      </c>
      <c r="H42" s="355">
        <f t="shared" si="6"/>
        <v>3.9285714285714284</v>
      </c>
      <c r="I42" s="356">
        <f t="shared" si="18"/>
        <v>3.9285714285714284</v>
      </c>
      <c r="J42" s="356">
        <f t="shared" si="18"/>
        <v>3.9285714285714284</v>
      </c>
      <c r="K42" s="356">
        <f t="shared" si="18"/>
        <v>3.9285714285714284</v>
      </c>
      <c r="L42" s="356">
        <f t="shared" si="18"/>
        <v>3.9285714285714284</v>
      </c>
      <c r="M42" s="356">
        <f t="shared" si="18"/>
        <v>3.9285714285714284</v>
      </c>
      <c r="N42" s="356">
        <f t="shared" si="18"/>
        <v>3.9285714285714284</v>
      </c>
      <c r="O42" s="356">
        <f t="shared" si="18"/>
        <v>3.9285714285714284</v>
      </c>
      <c r="P42" s="356">
        <f t="shared" si="18"/>
        <v>3.9285714285714284</v>
      </c>
      <c r="Q42" s="356">
        <f t="shared" si="18"/>
        <v>3.9285714285714284</v>
      </c>
      <c r="R42" s="356">
        <f t="shared" si="18"/>
        <v>3.9285714285714284</v>
      </c>
      <c r="S42" s="356">
        <f t="shared" si="18"/>
        <v>3.9285714285714284</v>
      </c>
      <c r="T42" s="356">
        <f t="shared" si="18"/>
        <v>3.9285714285714284</v>
      </c>
      <c r="U42" s="356">
        <f t="shared" si="18"/>
        <v>3.9285714285714284</v>
      </c>
      <c r="V42" s="356">
        <f t="shared" si="18"/>
        <v>3.9285714285714284</v>
      </c>
      <c r="W42" s="356">
        <f t="shared" si="18"/>
        <v>3.9285714285714284</v>
      </c>
      <c r="X42" s="356">
        <f t="shared" si="18"/>
        <v>3.9285714285714284</v>
      </c>
      <c r="Y42" s="356">
        <f t="shared" si="16"/>
        <v>3.9285714285714284</v>
      </c>
      <c r="Z42" s="356">
        <f t="shared" si="16"/>
        <v>3.9285714285714284</v>
      </c>
      <c r="AA42" s="356">
        <f t="shared" si="16"/>
        <v>3.9285714285714284</v>
      </c>
      <c r="AB42" s="356">
        <f t="shared" si="16"/>
        <v>3.9285714285714284</v>
      </c>
      <c r="AC42" s="356">
        <f t="shared" si="16"/>
        <v>3.9285714285714284</v>
      </c>
      <c r="AD42" s="356">
        <f t="shared" si="16"/>
        <v>3.9285714285714284</v>
      </c>
      <c r="AE42" s="356">
        <f t="shared" si="16"/>
        <v>3.9285714285714284</v>
      </c>
      <c r="AF42" s="356">
        <f t="shared" si="16"/>
        <v>3.9285714285714284</v>
      </c>
      <c r="AG42" s="356">
        <f t="shared" si="16"/>
        <v>3.9285714285714284</v>
      </c>
      <c r="AH42" s="356">
        <f t="shared" si="16"/>
        <v>3.9285714285714284</v>
      </c>
      <c r="AI42" s="356">
        <f t="shared" si="16"/>
        <v>3.9285714285714284</v>
      </c>
      <c r="AJ42" s="356">
        <f t="shared" si="16"/>
        <v>3.9285714285714284</v>
      </c>
      <c r="AK42" s="356">
        <f t="shared" si="16"/>
        <v>3.9285714285714284</v>
      </c>
      <c r="AL42" s="356">
        <f t="shared" si="16"/>
        <v>3.9285714285714284</v>
      </c>
      <c r="AM42" s="356">
        <f t="shared" si="16"/>
        <v>3.9285714285714284</v>
      </c>
      <c r="AN42" s="356">
        <f t="shared" si="17"/>
        <v>3.9285714285714284</v>
      </c>
      <c r="AO42" s="356">
        <f t="shared" si="17"/>
        <v>3.9285714285714284</v>
      </c>
      <c r="AP42" s="356">
        <f t="shared" si="17"/>
        <v>3.9285714285714284</v>
      </c>
      <c r="AQ42" s="356">
        <f t="shared" si="17"/>
        <v>3.9285714285714284</v>
      </c>
      <c r="AR42" s="356">
        <f t="shared" si="17"/>
        <v>3.9285714285714284</v>
      </c>
      <c r="AS42" s="356">
        <f t="shared" si="17"/>
        <v>3.9285714285714284</v>
      </c>
      <c r="AT42" s="356">
        <f t="shared" si="17"/>
        <v>3.9285714285714284</v>
      </c>
      <c r="AU42" s="356">
        <f t="shared" si="17"/>
        <v>3.9285714285714284</v>
      </c>
      <c r="AV42" s="356">
        <f t="shared" si="17"/>
        <v>3.9285714285714284</v>
      </c>
      <c r="AW42" s="356">
        <f t="shared" si="17"/>
        <v>3.9285714285714284</v>
      </c>
      <c r="AX42" s="356">
        <f t="shared" si="17"/>
        <v>3.9285714285714284</v>
      </c>
      <c r="AY42" s="356">
        <f t="shared" si="17"/>
        <v>3.9285714285714284</v>
      </c>
      <c r="AZ42" s="356">
        <f t="shared" si="17"/>
        <v>3.9285714285714284</v>
      </c>
      <c r="BA42" s="356">
        <f t="shared" si="17"/>
        <v>3.9285714285714284</v>
      </c>
      <c r="BB42" s="356">
        <f t="shared" si="17"/>
        <v>3.9285714285714284</v>
      </c>
      <c r="BC42" s="356">
        <f t="shared" si="17"/>
        <v>3.9285714285714284</v>
      </c>
      <c r="BD42" s="356">
        <f t="shared" si="15"/>
        <v>3.9285714285714284</v>
      </c>
      <c r="BE42" s="356"/>
      <c r="BF42" s="356"/>
      <c r="BG42"/>
      <c r="BH42"/>
    </row>
    <row r="43" spans="1:60" x14ac:dyDescent="0.25">
      <c r="A43" s="15">
        <v>7</v>
      </c>
      <c r="B43" s="346">
        <f t="shared" si="4"/>
        <v>1</v>
      </c>
      <c r="C43" s="346">
        <f t="shared" si="0"/>
        <v>0.14285714285714285</v>
      </c>
      <c r="D43" s="352">
        <f>3.28*B43+2*C43</f>
        <v>3.5657142857142854</v>
      </c>
      <c r="E43" s="347">
        <f t="shared" si="9"/>
        <v>1.25</v>
      </c>
      <c r="F43" s="347">
        <v>0</v>
      </c>
      <c r="G43" s="354">
        <f t="shared" si="5"/>
        <v>0</v>
      </c>
      <c r="H43" s="355">
        <f t="shared" si="6"/>
        <v>3.5657142857142854</v>
      </c>
      <c r="I43" s="356">
        <f t="shared" si="18"/>
        <v>3.5657142857142854</v>
      </c>
      <c r="J43" s="356">
        <f t="shared" si="18"/>
        <v>3.5657142857142854</v>
      </c>
      <c r="K43" s="356">
        <f t="shared" si="18"/>
        <v>3.5657142857142854</v>
      </c>
      <c r="L43" s="356">
        <f t="shared" si="18"/>
        <v>3.5657142857142854</v>
      </c>
      <c r="M43" s="356">
        <f t="shared" si="18"/>
        <v>3.5657142857142854</v>
      </c>
      <c r="N43" s="356">
        <f t="shared" si="18"/>
        <v>3.5657142857142854</v>
      </c>
      <c r="O43" s="356">
        <f t="shared" si="18"/>
        <v>3.5657142857142854</v>
      </c>
      <c r="P43" s="356">
        <f t="shared" si="18"/>
        <v>3.5657142857142854</v>
      </c>
      <c r="Q43" s="356">
        <f t="shared" si="18"/>
        <v>3.5657142857142854</v>
      </c>
      <c r="R43" s="356">
        <f t="shared" si="18"/>
        <v>3.5657142857142854</v>
      </c>
      <c r="S43" s="356">
        <f t="shared" si="18"/>
        <v>3.5657142857142854</v>
      </c>
      <c r="T43" s="356">
        <f t="shared" si="18"/>
        <v>3.5657142857142854</v>
      </c>
      <c r="U43" s="356">
        <f t="shared" si="18"/>
        <v>3.5657142857142854</v>
      </c>
      <c r="V43" s="356">
        <f t="shared" si="18"/>
        <v>3.5657142857142854</v>
      </c>
      <c r="W43" s="356">
        <f t="shared" si="18"/>
        <v>3.5657142857142854</v>
      </c>
      <c r="X43" s="356">
        <f t="shared" si="18"/>
        <v>3.5657142857142854</v>
      </c>
      <c r="Y43" s="356">
        <f t="shared" si="16"/>
        <v>3.5657142857142854</v>
      </c>
      <c r="Z43" s="356">
        <f t="shared" si="16"/>
        <v>3.5657142857142854</v>
      </c>
      <c r="AA43" s="356">
        <f t="shared" si="16"/>
        <v>3.5657142857142854</v>
      </c>
      <c r="AB43" s="356">
        <f t="shared" si="16"/>
        <v>3.5657142857142854</v>
      </c>
      <c r="AC43" s="356">
        <f t="shared" si="16"/>
        <v>3.5657142857142854</v>
      </c>
      <c r="AD43" s="356">
        <f t="shared" si="16"/>
        <v>3.5657142857142854</v>
      </c>
      <c r="AE43" s="356">
        <f t="shared" si="16"/>
        <v>3.5657142857142854</v>
      </c>
      <c r="AF43" s="356">
        <f t="shared" si="16"/>
        <v>3.5657142857142854</v>
      </c>
      <c r="AG43" s="356">
        <f t="shared" si="16"/>
        <v>3.5657142857142854</v>
      </c>
      <c r="AH43" s="356">
        <f t="shared" si="16"/>
        <v>3.5657142857142854</v>
      </c>
      <c r="AI43" s="356">
        <f t="shared" si="16"/>
        <v>3.5657142857142854</v>
      </c>
      <c r="AJ43" s="356">
        <f t="shared" si="16"/>
        <v>3.5657142857142854</v>
      </c>
      <c r="AK43" s="356">
        <f t="shared" si="16"/>
        <v>3.5657142857142854</v>
      </c>
      <c r="AL43" s="356">
        <f t="shared" si="16"/>
        <v>3.5657142857142854</v>
      </c>
      <c r="AM43" s="356">
        <f t="shared" si="16"/>
        <v>3.5657142857142854</v>
      </c>
      <c r="AN43" s="356">
        <f t="shared" si="17"/>
        <v>3.5657142857142854</v>
      </c>
      <c r="AO43" s="356">
        <f t="shared" si="17"/>
        <v>3.5657142857142854</v>
      </c>
      <c r="AP43" s="356">
        <f t="shared" si="17"/>
        <v>3.5657142857142854</v>
      </c>
      <c r="AQ43" s="356">
        <f t="shared" si="17"/>
        <v>3.5657142857142854</v>
      </c>
      <c r="AR43" s="356">
        <f t="shared" si="17"/>
        <v>3.5657142857142854</v>
      </c>
      <c r="AS43" s="356">
        <f t="shared" si="17"/>
        <v>3.5657142857142854</v>
      </c>
      <c r="AT43" s="356">
        <f t="shared" si="17"/>
        <v>3.5657142857142854</v>
      </c>
      <c r="AU43" s="356">
        <f t="shared" si="17"/>
        <v>3.5657142857142854</v>
      </c>
      <c r="AV43" s="356">
        <f t="shared" si="17"/>
        <v>3.5657142857142854</v>
      </c>
      <c r="AW43" s="356">
        <f t="shared" si="17"/>
        <v>3.5657142857142854</v>
      </c>
      <c r="AX43" s="356">
        <f t="shared" si="17"/>
        <v>3.5657142857142854</v>
      </c>
      <c r="AY43" s="356">
        <f t="shared" si="17"/>
        <v>3.5657142857142854</v>
      </c>
      <c r="AZ43" s="356">
        <f t="shared" si="17"/>
        <v>3.5657142857142854</v>
      </c>
      <c r="BA43" s="356">
        <f t="shared" si="17"/>
        <v>3.5657142857142854</v>
      </c>
      <c r="BB43" s="356">
        <f t="shared" si="17"/>
        <v>3.5657142857142854</v>
      </c>
      <c r="BC43" s="356">
        <f t="shared" si="17"/>
        <v>3.5657142857142854</v>
      </c>
      <c r="BD43" s="356">
        <f t="shared" si="15"/>
        <v>3.5657142857142854</v>
      </c>
      <c r="BE43" s="356"/>
      <c r="BF43" s="356"/>
      <c r="BG43"/>
      <c r="BH43"/>
    </row>
    <row r="44" spans="1:60" x14ac:dyDescent="0.25">
      <c r="A44" s="15">
        <v>8</v>
      </c>
      <c r="B44" s="346">
        <f t="shared" si="4"/>
        <v>1</v>
      </c>
      <c r="C44" s="346">
        <f t="shared" si="0"/>
        <v>0.14285714285714285</v>
      </c>
      <c r="D44" s="352">
        <f>1.71*B44</f>
        <v>1.71</v>
      </c>
      <c r="E44" s="347">
        <f t="shared" si="9"/>
        <v>1.25</v>
      </c>
      <c r="F44" s="347">
        <f>16*C44</f>
        <v>2.2857142857142856</v>
      </c>
      <c r="G44" s="354">
        <f t="shared" si="5"/>
        <v>2.8571428571428568</v>
      </c>
      <c r="H44" s="355">
        <f t="shared" si="6"/>
        <v>4.5671428571428567</v>
      </c>
      <c r="I44" s="356">
        <f t="shared" si="18"/>
        <v>4.5671428571428567</v>
      </c>
      <c r="J44" s="356">
        <f t="shared" si="18"/>
        <v>4.5671428571428567</v>
      </c>
      <c r="K44" s="356">
        <f t="shared" si="18"/>
        <v>4.5671428571428567</v>
      </c>
      <c r="L44" s="356">
        <f t="shared" si="18"/>
        <v>4.5671428571428567</v>
      </c>
      <c r="M44" s="356">
        <f t="shared" si="18"/>
        <v>4.5671428571428567</v>
      </c>
      <c r="N44" s="356">
        <f t="shared" si="18"/>
        <v>4.5671428571428567</v>
      </c>
      <c r="O44" s="356">
        <f t="shared" si="18"/>
        <v>4.5671428571428567</v>
      </c>
      <c r="P44" s="356">
        <f t="shared" si="18"/>
        <v>4.5671428571428567</v>
      </c>
      <c r="Q44" s="356">
        <f t="shared" si="18"/>
        <v>4.5671428571428567</v>
      </c>
      <c r="R44" s="356">
        <f t="shared" si="18"/>
        <v>4.5671428571428567</v>
      </c>
      <c r="S44" s="356">
        <f t="shared" si="18"/>
        <v>4.5671428571428567</v>
      </c>
      <c r="T44" s="356">
        <f t="shared" si="18"/>
        <v>4.5671428571428567</v>
      </c>
      <c r="U44" s="356">
        <f t="shared" si="18"/>
        <v>4.5671428571428567</v>
      </c>
      <c r="V44" s="356">
        <f t="shared" si="18"/>
        <v>4.5671428571428567</v>
      </c>
      <c r="W44" s="356">
        <f t="shared" si="18"/>
        <v>4.5671428571428567</v>
      </c>
      <c r="X44" s="356">
        <f t="shared" si="18"/>
        <v>4.5671428571428567</v>
      </c>
      <c r="Y44" s="356">
        <f t="shared" si="16"/>
        <v>4.5671428571428567</v>
      </c>
      <c r="Z44" s="356">
        <f t="shared" si="16"/>
        <v>4.5671428571428567</v>
      </c>
      <c r="AA44" s="356">
        <f t="shared" si="16"/>
        <v>4.5671428571428567</v>
      </c>
      <c r="AB44" s="356">
        <f t="shared" si="16"/>
        <v>4.5671428571428567</v>
      </c>
      <c r="AC44" s="356">
        <f t="shared" si="16"/>
        <v>4.5671428571428567</v>
      </c>
      <c r="AD44" s="356">
        <f t="shared" si="16"/>
        <v>4.5671428571428567</v>
      </c>
      <c r="AE44" s="356">
        <f t="shared" si="16"/>
        <v>4.5671428571428567</v>
      </c>
      <c r="AF44" s="356">
        <f t="shared" si="16"/>
        <v>4.5671428571428567</v>
      </c>
      <c r="AG44" s="356">
        <f t="shared" si="16"/>
        <v>4.5671428571428567</v>
      </c>
      <c r="AH44" s="356">
        <f t="shared" si="16"/>
        <v>4.5671428571428567</v>
      </c>
      <c r="AI44" s="356">
        <f t="shared" si="16"/>
        <v>4.5671428571428567</v>
      </c>
      <c r="AJ44" s="356">
        <f t="shared" si="16"/>
        <v>4.5671428571428567</v>
      </c>
      <c r="AK44" s="356">
        <f t="shared" si="16"/>
        <v>4.5671428571428567</v>
      </c>
      <c r="AL44" s="356">
        <f t="shared" si="16"/>
        <v>4.5671428571428567</v>
      </c>
      <c r="AM44" s="356">
        <f t="shared" si="16"/>
        <v>4.5671428571428567</v>
      </c>
      <c r="AN44" s="356">
        <f t="shared" si="17"/>
        <v>4.5671428571428567</v>
      </c>
      <c r="AO44" s="356">
        <f t="shared" si="17"/>
        <v>4.5671428571428567</v>
      </c>
      <c r="AP44" s="356">
        <f t="shared" si="17"/>
        <v>4.5671428571428567</v>
      </c>
      <c r="AQ44" s="356">
        <f t="shared" si="17"/>
        <v>4.5671428571428567</v>
      </c>
      <c r="AR44" s="356">
        <f t="shared" si="17"/>
        <v>4.5671428571428567</v>
      </c>
      <c r="AS44" s="356">
        <f t="shared" si="17"/>
        <v>4.5671428571428567</v>
      </c>
      <c r="AT44" s="356">
        <f t="shared" si="17"/>
        <v>4.5671428571428567</v>
      </c>
      <c r="AU44" s="356">
        <f t="shared" si="17"/>
        <v>4.5671428571428567</v>
      </c>
      <c r="AV44" s="356">
        <f t="shared" si="17"/>
        <v>4.5671428571428567</v>
      </c>
      <c r="AW44" s="356">
        <f t="shared" si="17"/>
        <v>4.5671428571428567</v>
      </c>
      <c r="AX44" s="356">
        <f t="shared" si="17"/>
        <v>4.5671428571428567</v>
      </c>
      <c r="AY44" s="356">
        <f t="shared" si="17"/>
        <v>4.5671428571428567</v>
      </c>
      <c r="AZ44" s="356">
        <f t="shared" si="17"/>
        <v>4.5671428571428567</v>
      </c>
      <c r="BA44" s="356">
        <f t="shared" si="17"/>
        <v>4.5671428571428567</v>
      </c>
      <c r="BB44" s="356">
        <f t="shared" si="17"/>
        <v>4.5671428571428567</v>
      </c>
      <c r="BC44" s="356">
        <f t="shared" si="17"/>
        <v>4.5671428571428567</v>
      </c>
      <c r="BD44" s="356">
        <f t="shared" si="15"/>
        <v>4.5671428571428567</v>
      </c>
      <c r="BE44" s="356"/>
      <c r="BF44" s="356"/>
      <c r="BG44"/>
      <c r="BH44"/>
    </row>
    <row r="45" spans="1:60" x14ac:dyDescent="0.25">
      <c r="A45" s="15">
        <v>9</v>
      </c>
      <c r="B45" s="346">
        <f t="shared" si="4"/>
        <v>1</v>
      </c>
      <c r="C45" s="346">
        <f t="shared" si="0"/>
        <v>0.14285714285714285</v>
      </c>
      <c r="D45" s="352">
        <f>2*B45+C45</f>
        <v>2.1428571428571428</v>
      </c>
      <c r="E45" s="347">
        <f t="shared" si="9"/>
        <v>1.25</v>
      </c>
      <c r="F45" s="347">
        <f>10*C45</f>
        <v>1.4285714285714284</v>
      </c>
      <c r="G45" s="354">
        <f t="shared" si="5"/>
        <v>1.7857142857142856</v>
      </c>
      <c r="H45" s="355">
        <f t="shared" si="6"/>
        <v>3.9285714285714284</v>
      </c>
      <c r="I45" s="356">
        <f t="shared" si="18"/>
        <v>3.9285714285714284</v>
      </c>
      <c r="J45" s="356">
        <f t="shared" si="18"/>
        <v>3.9285714285714284</v>
      </c>
      <c r="K45" s="356">
        <f t="shared" si="18"/>
        <v>3.9285714285714284</v>
      </c>
      <c r="L45" s="356">
        <f t="shared" si="18"/>
        <v>3.9285714285714284</v>
      </c>
      <c r="M45" s="356">
        <f t="shared" si="18"/>
        <v>3.9285714285714284</v>
      </c>
      <c r="N45" s="356">
        <f t="shared" si="18"/>
        <v>3.9285714285714284</v>
      </c>
      <c r="O45" s="356">
        <f t="shared" si="18"/>
        <v>3.9285714285714284</v>
      </c>
      <c r="P45" s="356">
        <f t="shared" si="18"/>
        <v>3.9285714285714284</v>
      </c>
      <c r="Q45" s="356">
        <f t="shared" si="18"/>
        <v>3.9285714285714284</v>
      </c>
      <c r="R45" s="356">
        <f t="shared" si="18"/>
        <v>3.9285714285714284</v>
      </c>
      <c r="S45" s="356">
        <f t="shared" si="18"/>
        <v>3.9285714285714284</v>
      </c>
      <c r="T45" s="356">
        <f t="shared" si="18"/>
        <v>3.9285714285714284</v>
      </c>
      <c r="U45" s="356">
        <f t="shared" si="18"/>
        <v>3.9285714285714284</v>
      </c>
      <c r="V45" s="356">
        <f t="shared" si="18"/>
        <v>3.9285714285714284</v>
      </c>
      <c r="W45" s="356">
        <f t="shared" si="18"/>
        <v>3.9285714285714284</v>
      </c>
      <c r="X45" s="356">
        <f t="shared" si="18"/>
        <v>3.9285714285714284</v>
      </c>
      <c r="Y45" s="356">
        <f t="shared" si="16"/>
        <v>3.9285714285714284</v>
      </c>
      <c r="Z45" s="356">
        <f t="shared" si="16"/>
        <v>3.9285714285714284</v>
      </c>
      <c r="AA45" s="356">
        <f t="shared" si="16"/>
        <v>3.9285714285714284</v>
      </c>
      <c r="AB45" s="356">
        <f t="shared" si="16"/>
        <v>3.9285714285714284</v>
      </c>
      <c r="AC45" s="356">
        <f t="shared" si="16"/>
        <v>3.9285714285714284</v>
      </c>
      <c r="AD45" s="356">
        <f t="shared" si="16"/>
        <v>3.9285714285714284</v>
      </c>
      <c r="AE45" s="356">
        <f t="shared" si="16"/>
        <v>3.9285714285714284</v>
      </c>
      <c r="AF45" s="356">
        <f t="shared" si="16"/>
        <v>3.9285714285714284</v>
      </c>
      <c r="AG45" s="356">
        <f t="shared" si="16"/>
        <v>3.9285714285714284</v>
      </c>
      <c r="AH45" s="356">
        <f t="shared" si="16"/>
        <v>3.9285714285714284</v>
      </c>
      <c r="AI45" s="356">
        <f t="shared" si="16"/>
        <v>3.9285714285714284</v>
      </c>
      <c r="AJ45" s="356">
        <f t="shared" si="16"/>
        <v>3.9285714285714284</v>
      </c>
      <c r="AK45" s="356">
        <f t="shared" si="16"/>
        <v>3.9285714285714284</v>
      </c>
      <c r="AL45" s="356">
        <f t="shared" si="16"/>
        <v>3.9285714285714284</v>
      </c>
      <c r="AM45" s="356">
        <f t="shared" si="16"/>
        <v>3.9285714285714284</v>
      </c>
      <c r="AN45" s="356">
        <f t="shared" si="17"/>
        <v>3.9285714285714284</v>
      </c>
      <c r="AO45" s="356">
        <f t="shared" si="17"/>
        <v>3.9285714285714284</v>
      </c>
      <c r="AP45" s="356">
        <f t="shared" si="17"/>
        <v>3.9285714285714284</v>
      </c>
      <c r="AQ45" s="356">
        <f t="shared" si="17"/>
        <v>3.9285714285714284</v>
      </c>
      <c r="AR45" s="356">
        <f t="shared" si="17"/>
        <v>3.9285714285714284</v>
      </c>
      <c r="AS45" s="356">
        <f t="shared" si="17"/>
        <v>3.9285714285714284</v>
      </c>
      <c r="AT45" s="356">
        <f t="shared" si="17"/>
        <v>3.9285714285714284</v>
      </c>
      <c r="AU45" s="356">
        <f t="shared" si="17"/>
        <v>3.9285714285714284</v>
      </c>
      <c r="AV45" s="356">
        <f t="shared" si="17"/>
        <v>3.9285714285714284</v>
      </c>
      <c r="AW45" s="356">
        <f t="shared" si="17"/>
        <v>3.9285714285714284</v>
      </c>
      <c r="AX45" s="356">
        <f t="shared" si="17"/>
        <v>3.9285714285714284</v>
      </c>
      <c r="AY45" s="356">
        <f t="shared" si="17"/>
        <v>3.9285714285714284</v>
      </c>
      <c r="AZ45" s="356">
        <f t="shared" si="17"/>
        <v>3.9285714285714284</v>
      </c>
      <c r="BA45" s="356">
        <f t="shared" si="17"/>
        <v>3.9285714285714284</v>
      </c>
      <c r="BB45" s="356">
        <f t="shared" si="17"/>
        <v>3.9285714285714284</v>
      </c>
      <c r="BC45" s="356">
        <f t="shared" si="17"/>
        <v>3.9285714285714284</v>
      </c>
      <c r="BD45" s="356">
        <f t="shared" si="15"/>
        <v>3.9285714285714284</v>
      </c>
      <c r="BE45" s="356"/>
      <c r="BF45" s="356"/>
      <c r="BG45"/>
      <c r="BH45"/>
    </row>
    <row r="46" spans="1:60" x14ac:dyDescent="0.25">
      <c r="A46" s="15">
        <v>0</v>
      </c>
      <c r="B46" s="346">
        <f t="shared" si="4"/>
        <v>1</v>
      </c>
      <c r="C46" s="346">
        <f t="shared" si="0"/>
        <v>0.14285714285714285</v>
      </c>
      <c r="D46" s="352">
        <f>2.85*B46</f>
        <v>2.85</v>
      </c>
      <c r="E46" s="347">
        <f t="shared" si="9"/>
        <v>1.25</v>
      </c>
      <c r="F46" s="347">
        <f>8*C46</f>
        <v>1.1428571428571428</v>
      </c>
      <c r="G46" s="354">
        <f t="shared" si="5"/>
        <v>1.4285714285714284</v>
      </c>
      <c r="H46" s="355">
        <f t="shared" si="6"/>
        <v>4.2785714285714285</v>
      </c>
      <c r="I46" s="356">
        <f t="shared" si="18"/>
        <v>4.2785714285714285</v>
      </c>
      <c r="J46" s="356">
        <f t="shared" si="18"/>
        <v>4.2785714285714285</v>
      </c>
      <c r="K46" s="356">
        <f t="shared" si="18"/>
        <v>4.2785714285714285</v>
      </c>
      <c r="L46" s="356">
        <f t="shared" si="18"/>
        <v>4.2785714285714285</v>
      </c>
      <c r="M46" s="356">
        <f t="shared" si="18"/>
        <v>4.2785714285714285</v>
      </c>
      <c r="N46" s="356">
        <f t="shared" si="18"/>
        <v>4.2785714285714285</v>
      </c>
      <c r="O46" s="356">
        <f t="shared" si="18"/>
        <v>4.2785714285714285</v>
      </c>
      <c r="P46" s="356">
        <f t="shared" si="18"/>
        <v>4.2785714285714285</v>
      </c>
      <c r="Q46" s="356">
        <f t="shared" si="18"/>
        <v>4.2785714285714285</v>
      </c>
      <c r="R46" s="356">
        <f t="shared" si="18"/>
        <v>4.2785714285714285</v>
      </c>
      <c r="S46" s="356">
        <f t="shared" si="18"/>
        <v>4.2785714285714285</v>
      </c>
      <c r="T46" s="356">
        <f t="shared" si="18"/>
        <v>4.2785714285714285</v>
      </c>
      <c r="U46" s="356">
        <f t="shared" si="18"/>
        <v>4.2785714285714285</v>
      </c>
      <c r="V46" s="356">
        <f t="shared" si="18"/>
        <v>4.2785714285714285</v>
      </c>
      <c r="W46" s="356">
        <f t="shared" si="18"/>
        <v>4.2785714285714285</v>
      </c>
      <c r="X46" s="356">
        <f t="shared" si="18"/>
        <v>4.2785714285714285</v>
      </c>
      <c r="Y46" s="356">
        <f t="shared" si="16"/>
        <v>4.2785714285714285</v>
      </c>
      <c r="Z46" s="356">
        <f t="shared" si="16"/>
        <v>4.2785714285714285</v>
      </c>
      <c r="AA46" s="356">
        <f t="shared" si="16"/>
        <v>4.2785714285714285</v>
      </c>
      <c r="AB46" s="356">
        <f t="shared" si="16"/>
        <v>4.2785714285714285</v>
      </c>
      <c r="AC46" s="356">
        <f t="shared" si="16"/>
        <v>4.2785714285714285</v>
      </c>
      <c r="AD46" s="356">
        <f t="shared" si="16"/>
        <v>4.2785714285714285</v>
      </c>
      <c r="AE46" s="356">
        <f t="shared" si="16"/>
        <v>4.2785714285714285</v>
      </c>
      <c r="AF46" s="356">
        <f t="shared" si="16"/>
        <v>4.2785714285714285</v>
      </c>
      <c r="AG46" s="356">
        <f t="shared" si="16"/>
        <v>4.2785714285714285</v>
      </c>
      <c r="AH46" s="356">
        <f t="shared" si="16"/>
        <v>4.2785714285714285</v>
      </c>
      <c r="AI46" s="356">
        <f t="shared" si="16"/>
        <v>4.2785714285714285</v>
      </c>
      <c r="AJ46" s="356">
        <f t="shared" si="16"/>
        <v>4.2785714285714285</v>
      </c>
      <c r="AK46" s="356">
        <f t="shared" si="16"/>
        <v>4.2785714285714285</v>
      </c>
      <c r="AL46" s="356">
        <f t="shared" si="16"/>
        <v>4.2785714285714285</v>
      </c>
      <c r="AM46" s="356">
        <f t="shared" si="16"/>
        <v>4.2785714285714285</v>
      </c>
      <c r="AN46" s="356">
        <f t="shared" si="17"/>
        <v>4.2785714285714285</v>
      </c>
      <c r="AO46" s="356">
        <f t="shared" si="17"/>
        <v>4.2785714285714285</v>
      </c>
      <c r="AP46" s="356">
        <f t="shared" si="17"/>
        <v>4.2785714285714285</v>
      </c>
      <c r="AQ46" s="356">
        <f t="shared" si="17"/>
        <v>4.2785714285714285</v>
      </c>
      <c r="AR46" s="356">
        <f t="shared" si="17"/>
        <v>4.2785714285714285</v>
      </c>
      <c r="AS46" s="356">
        <f t="shared" si="17"/>
        <v>4.2785714285714285</v>
      </c>
      <c r="AT46" s="356">
        <f t="shared" si="17"/>
        <v>4.2785714285714285</v>
      </c>
      <c r="AU46" s="356">
        <f t="shared" si="17"/>
        <v>4.2785714285714285</v>
      </c>
      <c r="AV46" s="356">
        <f t="shared" si="17"/>
        <v>4.2785714285714285</v>
      </c>
      <c r="AW46" s="356">
        <f t="shared" si="17"/>
        <v>4.2785714285714285</v>
      </c>
      <c r="AX46" s="356">
        <f t="shared" si="17"/>
        <v>4.2785714285714285</v>
      </c>
      <c r="AY46" s="356">
        <f t="shared" si="17"/>
        <v>4.2785714285714285</v>
      </c>
      <c r="AZ46" s="356">
        <f t="shared" si="17"/>
        <v>4.2785714285714285</v>
      </c>
      <c r="BA46" s="356">
        <f t="shared" si="17"/>
        <v>4.2785714285714285</v>
      </c>
      <c r="BB46" s="356">
        <f t="shared" si="17"/>
        <v>4.2785714285714285</v>
      </c>
      <c r="BC46" s="356">
        <f t="shared" si="17"/>
        <v>4.2785714285714285</v>
      </c>
      <c r="BD46" s="356">
        <f t="shared" si="15"/>
        <v>4.2785714285714285</v>
      </c>
      <c r="BE46" s="356"/>
      <c r="BF46" s="356"/>
      <c r="BG46"/>
      <c r="BH46"/>
    </row>
    <row r="47" spans="1:60" x14ac:dyDescent="0.25">
      <c r="A47" s="15" t="s">
        <v>1</v>
      </c>
      <c r="B47" s="346">
        <f t="shared" si="4"/>
        <v>1</v>
      </c>
      <c r="C47" s="346">
        <f t="shared" si="0"/>
        <v>0.14285714285714285</v>
      </c>
      <c r="D47" s="352">
        <f>6*B47+4*C47</f>
        <v>6.5714285714285712</v>
      </c>
      <c r="E47" s="347">
        <f t="shared" si="9"/>
        <v>1.25</v>
      </c>
      <c r="F47" s="347">
        <f>8*C47</f>
        <v>1.1428571428571428</v>
      </c>
      <c r="G47" s="354">
        <f t="shared" si="5"/>
        <v>1.4285714285714284</v>
      </c>
      <c r="H47" s="355">
        <f t="shared" si="6"/>
        <v>8</v>
      </c>
      <c r="I47" s="356">
        <f t="shared" si="18"/>
        <v>8</v>
      </c>
      <c r="J47" s="356">
        <f t="shared" si="18"/>
        <v>8</v>
      </c>
      <c r="K47" s="356">
        <f t="shared" si="18"/>
        <v>8</v>
      </c>
      <c r="L47" s="356">
        <f t="shared" si="18"/>
        <v>8</v>
      </c>
      <c r="M47" s="356">
        <f t="shared" si="18"/>
        <v>8</v>
      </c>
      <c r="N47" s="356">
        <f t="shared" si="18"/>
        <v>8</v>
      </c>
      <c r="O47" s="356">
        <f t="shared" si="18"/>
        <v>8</v>
      </c>
      <c r="P47" s="356">
        <f t="shared" si="18"/>
        <v>8</v>
      </c>
      <c r="Q47" s="356">
        <f t="shared" si="18"/>
        <v>8</v>
      </c>
      <c r="R47" s="356">
        <f t="shared" si="18"/>
        <v>8</v>
      </c>
      <c r="S47" s="356">
        <f t="shared" si="18"/>
        <v>8</v>
      </c>
      <c r="T47" s="356">
        <f t="shared" si="18"/>
        <v>8</v>
      </c>
      <c r="U47" s="356">
        <f t="shared" si="18"/>
        <v>8</v>
      </c>
      <c r="V47" s="356">
        <f t="shared" si="18"/>
        <v>8</v>
      </c>
      <c r="W47" s="356">
        <f t="shared" si="18"/>
        <v>8</v>
      </c>
      <c r="X47" s="356">
        <f t="shared" si="18"/>
        <v>8</v>
      </c>
      <c r="Y47" s="356">
        <f t="shared" si="16"/>
        <v>8</v>
      </c>
      <c r="Z47" s="356">
        <f t="shared" si="16"/>
        <v>8</v>
      </c>
      <c r="AA47" s="356">
        <f t="shared" si="16"/>
        <v>8</v>
      </c>
      <c r="AB47" s="356">
        <f t="shared" si="16"/>
        <v>8</v>
      </c>
      <c r="AC47" s="356">
        <f t="shared" si="16"/>
        <v>8</v>
      </c>
      <c r="AD47" s="356">
        <f t="shared" si="16"/>
        <v>8</v>
      </c>
      <c r="AE47" s="356">
        <f t="shared" si="16"/>
        <v>8</v>
      </c>
      <c r="AF47" s="356">
        <f t="shared" si="16"/>
        <v>8</v>
      </c>
      <c r="AG47" s="356">
        <f t="shared" si="16"/>
        <v>8</v>
      </c>
      <c r="AH47" s="356">
        <f t="shared" si="16"/>
        <v>8</v>
      </c>
      <c r="AI47" s="356">
        <f t="shared" si="16"/>
        <v>8</v>
      </c>
      <c r="AJ47" s="356">
        <f t="shared" si="16"/>
        <v>8</v>
      </c>
      <c r="AK47" s="356">
        <f t="shared" si="16"/>
        <v>8</v>
      </c>
      <c r="AL47" s="356">
        <f t="shared" si="16"/>
        <v>8</v>
      </c>
      <c r="AM47" s="356">
        <f t="shared" si="16"/>
        <v>8</v>
      </c>
      <c r="AN47" s="356">
        <f t="shared" si="17"/>
        <v>8</v>
      </c>
      <c r="AO47" s="356">
        <f t="shared" si="17"/>
        <v>8</v>
      </c>
      <c r="AP47" s="356">
        <f t="shared" si="17"/>
        <v>8</v>
      </c>
      <c r="AQ47" s="356">
        <f t="shared" si="17"/>
        <v>8</v>
      </c>
      <c r="AR47" s="356">
        <f t="shared" si="17"/>
        <v>8</v>
      </c>
      <c r="AS47" s="356">
        <f t="shared" si="17"/>
        <v>8</v>
      </c>
      <c r="AT47" s="356">
        <f t="shared" si="17"/>
        <v>8</v>
      </c>
      <c r="AU47" s="356">
        <f t="shared" si="17"/>
        <v>8</v>
      </c>
      <c r="AV47" s="356">
        <f t="shared" si="17"/>
        <v>8</v>
      </c>
      <c r="AW47" s="356">
        <f t="shared" si="17"/>
        <v>8</v>
      </c>
      <c r="AX47" s="356">
        <f t="shared" si="17"/>
        <v>8</v>
      </c>
      <c r="AY47" s="356">
        <f t="shared" si="17"/>
        <v>8</v>
      </c>
      <c r="AZ47" s="356">
        <f t="shared" si="17"/>
        <v>8</v>
      </c>
      <c r="BA47" s="356">
        <f t="shared" si="17"/>
        <v>8</v>
      </c>
      <c r="BB47" s="356">
        <f t="shared" si="17"/>
        <v>8</v>
      </c>
      <c r="BC47" s="356">
        <f t="shared" si="17"/>
        <v>8</v>
      </c>
      <c r="BD47" s="356">
        <f t="shared" si="15"/>
        <v>8</v>
      </c>
      <c r="BE47" s="356"/>
      <c r="BF47" s="356"/>
      <c r="BG47"/>
      <c r="BH47"/>
    </row>
    <row r="48" spans="1:60" x14ac:dyDescent="0.25">
      <c r="A48" s="369" t="s">
        <v>489</v>
      </c>
      <c r="B48" s="346">
        <f t="shared" si="4"/>
        <v>1</v>
      </c>
      <c r="C48" s="346">
        <f t="shared" si="0"/>
        <v>0.14285714285714285</v>
      </c>
      <c r="D48" s="352">
        <f>6*C48</f>
        <v>0.8571428571428571</v>
      </c>
      <c r="E48" s="347">
        <f t="shared" si="9"/>
        <v>1.25</v>
      </c>
      <c r="F48" s="347">
        <v>0</v>
      </c>
      <c r="G48" s="354">
        <f t="shared" si="5"/>
        <v>0</v>
      </c>
      <c r="H48" s="355">
        <f t="shared" si="6"/>
        <v>0.8571428571428571</v>
      </c>
      <c r="I48" s="356">
        <f t="shared" si="18"/>
        <v>0.8571428571428571</v>
      </c>
      <c r="J48" s="356">
        <f t="shared" si="18"/>
        <v>0.8571428571428571</v>
      </c>
      <c r="K48" s="356">
        <f t="shared" si="18"/>
        <v>0.8571428571428571</v>
      </c>
      <c r="L48" s="356">
        <f t="shared" si="18"/>
        <v>0.8571428571428571</v>
      </c>
      <c r="M48" s="356">
        <f t="shared" si="18"/>
        <v>0.8571428571428571</v>
      </c>
      <c r="N48" s="356">
        <f t="shared" si="18"/>
        <v>0.8571428571428571</v>
      </c>
      <c r="O48" s="356">
        <f t="shared" si="18"/>
        <v>0.8571428571428571</v>
      </c>
      <c r="P48" s="356">
        <f t="shared" si="18"/>
        <v>0.8571428571428571</v>
      </c>
      <c r="Q48" s="356">
        <f t="shared" si="18"/>
        <v>0.8571428571428571</v>
      </c>
      <c r="R48" s="356">
        <f t="shared" si="18"/>
        <v>0.8571428571428571</v>
      </c>
      <c r="S48" s="356">
        <f t="shared" si="18"/>
        <v>0.8571428571428571</v>
      </c>
      <c r="T48" s="356">
        <f t="shared" si="18"/>
        <v>0.8571428571428571</v>
      </c>
      <c r="U48" s="356">
        <f t="shared" si="18"/>
        <v>0.8571428571428571</v>
      </c>
      <c r="V48" s="356">
        <f t="shared" si="18"/>
        <v>0.8571428571428571</v>
      </c>
      <c r="W48" s="356">
        <f t="shared" si="18"/>
        <v>0.8571428571428571</v>
      </c>
      <c r="X48" s="356">
        <f t="shared" si="18"/>
        <v>0.8571428571428571</v>
      </c>
      <c r="Y48" s="356">
        <f t="shared" si="16"/>
        <v>0.8571428571428571</v>
      </c>
      <c r="Z48" s="356">
        <f t="shared" si="16"/>
        <v>0.8571428571428571</v>
      </c>
      <c r="AA48" s="356">
        <f t="shared" si="16"/>
        <v>0.8571428571428571</v>
      </c>
      <c r="AB48" s="356">
        <f t="shared" si="16"/>
        <v>0.8571428571428571</v>
      </c>
      <c r="AC48" s="356">
        <f t="shared" si="16"/>
        <v>0.8571428571428571</v>
      </c>
      <c r="AD48" s="356">
        <f t="shared" si="16"/>
        <v>0.8571428571428571</v>
      </c>
      <c r="AE48" s="356">
        <f t="shared" si="16"/>
        <v>0.8571428571428571</v>
      </c>
      <c r="AF48" s="356">
        <f t="shared" si="16"/>
        <v>0.8571428571428571</v>
      </c>
      <c r="AG48" s="356">
        <f t="shared" si="16"/>
        <v>0.8571428571428571</v>
      </c>
      <c r="AH48" s="356">
        <f t="shared" si="16"/>
        <v>0.8571428571428571</v>
      </c>
      <c r="AI48" s="356">
        <f t="shared" si="16"/>
        <v>0.8571428571428571</v>
      </c>
      <c r="AJ48" s="356">
        <f t="shared" si="16"/>
        <v>0.8571428571428571</v>
      </c>
      <c r="AK48" s="356">
        <f t="shared" si="16"/>
        <v>0.8571428571428571</v>
      </c>
      <c r="AL48" s="356">
        <f t="shared" si="16"/>
        <v>0.8571428571428571</v>
      </c>
      <c r="AM48" s="356">
        <f t="shared" si="16"/>
        <v>0.8571428571428571</v>
      </c>
      <c r="AN48" s="356">
        <f t="shared" si="17"/>
        <v>0.8571428571428571</v>
      </c>
      <c r="AO48" s="356">
        <f t="shared" si="17"/>
        <v>0.8571428571428571</v>
      </c>
      <c r="AP48" s="356">
        <f t="shared" si="17"/>
        <v>0.8571428571428571</v>
      </c>
      <c r="AQ48" s="356">
        <f t="shared" si="17"/>
        <v>0.8571428571428571</v>
      </c>
      <c r="AR48" s="356">
        <f t="shared" si="17"/>
        <v>0.8571428571428571</v>
      </c>
      <c r="AS48" s="356">
        <f t="shared" si="17"/>
        <v>0.8571428571428571</v>
      </c>
      <c r="AT48" s="356">
        <f t="shared" si="17"/>
        <v>0.8571428571428571</v>
      </c>
      <c r="AU48" s="356">
        <f t="shared" si="17"/>
        <v>0.8571428571428571</v>
      </c>
      <c r="AV48" s="356">
        <f t="shared" si="17"/>
        <v>0.8571428571428571</v>
      </c>
      <c r="AW48" s="356">
        <f t="shared" si="17"/>
        <v>0.8571428571428571</v>
      </c>
      <c r="AX48" s="356">
        <f t="shared" si="17"/>
        <v>0.8571428571428571</v>
      </c>
      <c r="AY48" s="356">
        <f t="shared" si="17"/>
        <v>0.8571428571428571</v>
      </c>
      <c r="AZ48" s="356">
        <f t="shared" si="17"/>
        <v>0.8571428571428571</v>
      </c>
      <c r="BA48" s="356">
        <f t="shared" si="17"/>
        <v>0.8571428571428571</v>
      </c>
      <c r="BB48" s="356">
        <f t="shared" si="17"/>
        <v>0.8571428571428571</v>
      </c>
      <c r="BC48" s="356">
        <f t="shared" si="17"/>
        <v>0.8571428571428571</v>
      </c>
      <c r="BD48" s="356">
        <f t="shared" si="15"/>
        <v>0.8571428571428571</v>
      </c>
      <c r="BE48" s="356"/>
      <c r="BF48" s="356"/>
      <c r="BG48"/>
      <c r="BH48"/>
    </row>
    <row r="49" spans="1:60" x14ac:dyDescent="0.25">
      <c r="A49" s="15" t="s">
        <v>490</v>
      </c>
      <c r="B49" s="346">
        <f t="shared" si="4"/>
        <v>1</v>
      </c>
      <c r="C49" s="346">
        <f t="shared" si="0"/>
        <v>0.14285714285714285</v>
      </c>
      <c r="D49" s="352">
        <f>16*C49</f>
        <v>2.2857142857142856</v>
      </c>
      <c r="E49" s="347">
        <f t="shared" si="9"/>
        <v>1.25</v>
      </c>
      <c r="F49" s="347">
        <v>0</v>
      </c>
      <c r="G49" s="354">
        <f t="shared" si="5"/>
        <v>0</v>
      </c>
      <c r="H49" s="355">
        <v>2.5</v>
      </c>
      <c r="I49" s="356">
        <f t="shared" si="18"/>
        <v>2.5</v>
      </c>
      <c r="J49" s="356">
        <f t="shared" si="18"/>
        <v>2.5</v>
      </c>
      <c r="K49" s="356">
        <f t="shared" si="18"/>
        <v>2.5</v>
      </c>
      <c r="L49" s="356">
        <f t="shared" si="18"/>
        <v>2.5</v>
      </c>
      <c r="M49" s="356">
        <f t="shared" si="18"/>
        <v>2.5</v>
      </c>
      <c r="N49" s="356">
        <f t="shared" si="18"/>
        <v>2.5</v>
      </c>
      <c r="O49" s="356">
        <f t="shared" si="18"/>
        <v>2.5</v>
      </c>
      <c r="P49" s="356">
        <f t="shared" si="18"/>
        <v>2.5</v>
      </c>
      <c r="Q49" s="356">
        <f t="shared" si="18"/>
        <v>2.5</v>
      </c>
      <c r="R49" s="356">
        <f t="shared" si="18"/>
        <v>2.5</v>
      </c>
      <c r="S49" s="356">
        <f t="shared" si="18"/>
        <v>2.5</v>
      </c>
      <c r="T49" s="356">
        <f t="shared" si="18"/>
        <v>2.5</v>
      </c>
      <c r="U49" s="356">
        <f t="shared" si="18"/>
        <v>2.5</v>
      </c>
      <c r="V49" s="356">
        <f t="shared" si="18"/>
        <v>2.5</v>
      </c>
      <c r="W49" s="356">
        <f t="shared" si="18"/>
        <v>2.5</v>
      </c>
      <c r="X49" s="356">
        <f t="shared" si="18"/>
        <v>2.5</v>
      </c>
      <c r="Y49" s="356">
        <f t="shared" si="16"/>
        <v>2.5</v>
      </c>
      <c r="Z49" s="356">
        <f t="shared" si="16"/>
        <v>2.5</v>
      </c>
      <c r="AA49" s="356">
        <f t="shared" si="16"/>
        <v>2.5</v>
      </c>
      <c r="AB49" s="356">
        <f t="shared" si="16"/>
        <v>2.5</v>
      </c>
      <c r="AC49" s="356">
        <f t="shared" si="16"/>
        <v>2.5</v>
      </c>
      <c r="AD49" s="356">
        <f t="shared" si="16"/>
        <v>2.5</v>
      </c>
      <c r="AE49" s="356">
        <f t="shared" si="16"/>
        <v>2.5</v>
      </c>
      <c r="AF49" s="356">
        <f t="shared" si="16"/>
        <v>2.5</v>
      </c>
      <c r="AG49" s="356">
        <f t="shared" si="16"/>
        <v>2.5</v>
      </c>
      <c r="AH49" s="356">
        <f t="shared" si="16"/>
        <v>2.5</v>
      </c>
      <c r="AI49" s="356">
        <f t="shared" si="16"/>
        <v>2.5</v>
      </c>
      <c r="AJ49" s="356">
        <f t="shared" si="16"/>
        <v>2.5</v>
      </c>
      <c r="AK49" s="356">
        <f t="shared" si="16"/>
        <v>2.5</v>
      </c>
      <c r="AL49" s="356">
        <f t="shared" si="16"/>
        <v>2.5</v>
      </c>
      <c r="AM49" s="356">
        <f t="shared" si="16"/>
        <v>2.5</v>
      </c>
      <c r="AN49" s="356">
        <f t="shared" si="17"/>
        <v>2.5</v>
      </c>
      <c r="AO49" s="356">
        <f t="shared" si="17"/>
        <v>2.5</v>
      </c>
      <c r="AP49" s="356">
        <f t="shared" si="17"/>
        <v>2.5</v>
      </c>
      <c r="AQ49" s="356">
        <f t="shared" si="17"/>
        <v>2.5</v>
      </c>
      <c r="AR49" s="356">
        <f t="shared" si="17"/>
        <v>2.5</v>
      </c>
      <c r="AS49" s="356">
        <f t="shared" si="17"/>
        <v>2.5</v>
      </c>
      <c r="AT49" s="356">
        <f t="shared" si="17"/>
        <v>2.5</v>
      </c>
      <c r="AU49" s="356">
        <f t="shared" si="17"/>
        <v>2.5</v>
      </c>
      <c r="AV49" s="356">
        <f t="shared" si="17"/>
        <v>2.5</v>
      </c>
      <c r="AW49" s="356">
        <f t="shared" si="17"/>
        <v>2.5</v>
      </c>
      <c r="AX49" s="356">
        <f t="shared" si="17"/>
        <v>2.5</v>
      </c>
      <c r="AY49" s="356">
        <f t="shared" si="17"/>
        <v>2.5</v>
      </c>
      <c r="AZ49" s="356">
        <f t="shared" si="17"/>
        <v>2.5</v>
      </c>
      <c r="BA49" s="356">
        <f t="shared" si="17"/>
        <v>2.5</v>
      </c>
      <c r="BB49" s="356">
        <f t="shared" si="17"/>
        <v>2.5</v>
      </c>
      <c r="BC49" s="356">
        <f t="shared" si="17"/>
        <v>2.5</v>
      </c>
      <c r="BD49" s="356">
        <f t="shared" si="15"/>
        <v>2.5</v>
      </c>
      <c r="BE49" s="356"/>
      <c r="BF49" s="356"/>
      <c r="BG49"/>
      <c r="BH49"/>
    </row>
    <row r="50" spans="1:60" x14ac:dyDescent="0.25">
      <c r="A50" s="15" t="s">
        <v>491</v>
      </c>
      <c r="B50" s="346">
        <f t="shared" si="4"/>
        <v>1</v>
      </c>
      <c r="C50" s="346">
        <f t="shared" si="0"/>
        <v>0.14285714285714285</v>
      </c>
      <c r="D50" s="352">
        <v>0</v>
      </c>
      <c r="E50" s="347">
        <f t="shared" si="9"/>
        <v>1.25</v>
      </c>
      <c r="F50" s="347">
        <f>14*C50</f>
        <v>2</v>
      </c>
      <c r="G50" s="354">
        <f t="shared" si="5"/>
        <v>2.5</v>
      </c>
      <c r="H50" s="355">
        <f t="shared" si="6"/>
        <v>2.5</v>
      </c>
      <c r="I50" s="356">
        <f t="shared" si="18"/>
        <v>2.5</v>
      </c>
      <c r="J50" s="356">
        <f t="shared" si="18"/>
        <v>2.5</v>
      </c>
      <c r="K50" s="356">
        <f t="shared" si="18"/>
        <v>2.5</v>
      </c>
      <c r="L50" s="356">
        <f t="shared" si="18"/>
        <v>2.5</v>
      </c>
      <c r="M50" s="356">
        <f t="shared" si="18"/>
        <v>2.5</v>
      </c>
      <c r="N50" s="356">
        <f t="shared" si="18"/>
        <v>2.5</v>
      </c>
      <c r="O50" s="356">
        <f t="shared" si="18"/>
        <v>2.5</v>
      </c>
      <c r="P50" s="356">
        <f t="shared" si="18"/>
        <v>2.5</v>
      </c>
      <c r="Q50" s="356">
        <f t="shared" si="18"/>
        <v>2.5</v>
      </c>
      <c r="R50" s="356">
        <f t="shared" si="18"/>
        <v>2.5</v>
      </c>
      <c r="S50" s="356">
        <f t="shared" si="18"/>
        <v>2.5</v>
      </c>
      <c r="T50" s="356">
        <f t="shared" si="18"/>
        <v>2.5</v>
      </c>
      <c r="U50" s="356">
        <f t="shared" si="18"/>
        <v>2.5</v>
      </c>
      <c r="V50" s="356">
        <f t="shared" si="18"/>
        <v>2.5</v>
      </c>
      <c r="W50" s="356">
        <f t="shared" si="18"/>
        <v>2.5</v>
      </c>
      <c r="X50" s="356">
        <f t="shared" si="18"/>
        <v>2.5</v>
      </c>
      <c r="Y50" s="356">
        <f t="shared" si="16"/>
        <v>2.5</v>
      </c>
      <c r="Z50" s="356">
        <f t="shared" si="16"/>
        <v>2.5</v>
      </c>
      <c r="AA50" s="356">
        <f t="shared" si="16"/>
        <v>2.5</v>
      </c>
      <c r="AB50" s="356">
        <f t="shared" si="16"/>
        <v>2.5</v>
      </c>
      <c r="AC50" s="356">
        <f t="shared" si="16"/>
        <v>2.5</v>
      </c>
      <c r="AD50" s="356">
        <f t="shared" si="16"/>
        <v>2.5</v>
      </c>
      <c r="AE50" s="356">
        <f t="shared" si="16"/>
        <v>2.5</v>
      </c>
      <c r="AF50" s="356">
        <f t="shared" si="16"/>
        <v>2.5</v>
      </c>
      <c r="AG50" s="356">
        <f t="shared" si="16"/>
        <v>2.5</v>
      </c>
      <c r="AH50" s="356">
        <f t="shared" si="16"/>
        <v>2.5</v>
      </c>
      <c r="AI50" s="356">
        <f t="shared" si="16"/>
        <v>2.5</v>
      </c>
      <c r="AJ50" s="356">
        <f t="shared" si="16"/>
        <v>2.5</v>
      </c>
      <c r="AK50" s="356">
        <f t="shared" si="16"/>
        <v>2.5</v>
      </c>
      <c r="AL50" s="356">
        <f t="shared" si="16"/>
        <v>2.5</v>
      </c>
      <c r="AM50" s="356">
        <f t="shared" si="16"/>
        <v>2.5</v>
      </c>
      <c r="AN50" s="356">
        <f t="shared" si="17"/>
        <v>2.5</v>
      </c>
      <c r="AO50" s="356">
        <f t="shared" si="17"/>
        <v>2.5</v>
      </c>
      <c r="AP50" s="356">
        <f t="shared" si="17"/>
        <v>2.5</v>
      </c>
      <c r="AQ50" s="356">
        <f t="shared" si="17"/>
        <v>2.5</v>
      </c>
      <c r="AR50" s="356">
        <f t="shared" si="17"/>
        <v>2.5</v>
      </c>
      <c r="AS50" s="356">
        <f t="shared" si="17"/>
        <v>2.5</v>
      </c>
      <c r="AT50" s="356">
        <f t="shared" si="17"/>
        <v>2.5</v>
      </c>
      <c r="AU50" s="356">
        <f t="shared" si="17"/>
        <v>2.5</v>
      </c>
      <c r="AV50" s="356">
        <f t="shared" si="17"/>
        <v>2.5</v>
      </c>
      <c r="AW50" s="356">
        <f t="shared" si="17"/>
        <v>2.5</v>
      </c>
      <c r="AX50" s="356">
        <f t="shared" si="17"/>
        <v>2.5</v>
      </c>
      <c r="AY50" s="356">
        <f t="shared" si="17"/>
        <v>2.5</v>
      </c>
      <c r="AZ50" s="356">
        <f t="shared" si="17"/>
        <v>2.5</v>
      </c>
      <c r="BA50" s="356">
        <f t="shared" si="17"/>
        <v>2.5</v>
      </c>
      <c r="BB50" s="356">
        <f t="shared" si="17"/>
        <v>2.5</v>
      </c>
      <c r="BC50" s="356">
        <f t="shared" si="17"/>
        <v>2.5</v>
      </c>
      <c r="BD50" s="356">
        <f t="shared" si="15"/>
        <v>2.5</v>
      </c>
      <c r="BE50" s="356"/>
      <c r="BF50" s="356"/>
      <c r="BG50"/>
      <c r="BH50"/>
    </row>
    <row r="51" spans="1:60" x14ac:dyDescent="0.25">
      <c r="A51" s="15" t="s">
        <v>326</v>
      </c>
      <c r="B51" s="346">
        <f t="shared" si="4"/>
        <v>1</v>
      </c>
      <c r="C51" s="346">
        <f t="shared" si="0"/>
        <v>0.14285714285714285</v>
      </c>
      <c r="D51" s="352">
        <f>8*C51</f>
        <v>1.1428571428571428</v>
      </c>
      <c r="E51" s="347">
        <f t="shared" si="9"/>
        <v>1.25</v>
      </c>
      <c r="F51" s="347">
        <f>6*C51</f>
        <v>0.8571428571428571</v>
      </c>
      <c r="G51" s="354">
        <f t="shared" si="5"/>
        <v>1.0714285714285714</v>
      </c>
      <c r="H51" s="355">
        <f t="shared" si="6"/>
        <v>2.2142857142857144</v>
      </c>
      <c r="I51" s="356">
        <f t="shared" si="18"/>
        <v>2.2142857142857144</v>
      </c>
      <c r="J51" s="356">
        <f t="shared" si="18"/>
        <v>2.2142857142857144</v>
      </c>
      <c r="K51" s="356">
        <f t="shared" si="18"/>
        <v>2.2142857142857144</v>
      </c>
      <c r="L51" s="356">
        <f t="shared" si="18"/>
        <v>2.2142857142857144</v>
      </c>
      <c r="M51" s="356">
        <f t="shared" si="18"/>
        <v>2.2142857142857144</v>
      </c>
      <c r="N51" s="356">
        <f t="shared" si="18"/>
        <v>2.2142857142857144</v>
      </c>
      <c r="O51" s="356">
        <f t="shared" si="18"/>
        <v>2.2142857142857144</v>
      </c>
      <c r="P51" s="356">
        <f t="shared" si="18"/>
        <v>2.2142857142857144</v>
      </c>
      <c r="Q51" s="356">
        <f t="shared" si="18"/>
        <v>2.2142857142857144</v>
      </c>
      <c r="R51" s="356">
        <f t="shared" si="18"/>
        <v>2.2142857142857144</v>
      </c>
      <c r="S51" s="356">
        <f t="shared" si="18"/>
        <v>2.2142857142857144</v>
      </c>
      <c r="T51" s="356">
        <f t="shared" si="18"/>
        <v>2.2142857142857144</v>
      </c>
      <c r="U51" s="356">
        <f t="shared" si="18"/>
        <v>2.2142857142857144</v>
      </c>
      <c r="V51" s="356">
        <f t="shared" si="18"/>
        <v>2.2142857142857144</v>
      </c>
      <c r="W51" s="356">
        <f t="shared" si="18"/>
        <v>2.2142857142857144</v>
      </c>
      <c r="X51" s="356">
        <f t="shared" si="18"/>
        <v>2.2142857142857144</v>
      </c>
      <c r="Y51" s="356">
        <f t="shared" si="16"/>
        <v>2.2142857142857144</v>
      </c>
      <c r="Z51" s="356">
        <f t="shared" si="16"/>
        <v>2.2142857142857144</v>
      </c>
      <c r="AA51" s="356">
        <f t="shared" si="16"/>
        <v>2.2142857142857144</v>
      </c>
      <c r="AB51" s="356">
        <f t="shared" si="16"/>
        <v>2.2142857142857144</v>
      </c>
      <c r="AC51" s="356">
        <f t="shared" si="16"/>
        <v>2.2142857142857144</v>
      </c>
      <c r="AD51" s="356">
        <f t="shared" si="16"/>
        <v>2.2142857142857144</v>
      </c>
      <c r="AE51" s="356">
        <f t="shared" si="16"/>
        <v>2.2142857142857144</v>
      </c>
      <c r="AF51" s="356">
        <f t="shared" si="16"/>
        <v>2.2142857142857144</v>
      </c>
      <c r="AG51" s="356">
        <f t="shared" si="16"/>
        <v>2.2142857142857144</v>
      </c>
      <c r="AH51" s="356">
        <f t="shared" si="16"/>
        <v>2.2142857142857144</v>
      </c>
      <c r="AI51" s="356">
        <f t="shared" si="16"/>
        <v>2.2142857142857144</v>
      </c>
      <c r="AJ51" s="356">
        <f t="shared" si="16"/>
        <v>2.2142857142857144</v>
      </c>
      <c r="AK51" s="356">
        <f t="shared" si="16"/>
        <v>2.2142857142857144</v>
      </c>
      <c r="AL51" s="356">
        <f t="shared" si="16"/>
        <v>2.2142857142857144</v>
      </c>
      <c r="AM51" s="356">
        <f t="shared" si="16"/>
        <v>2.2142857142857144</v>
      </c>
      <c r="AN51" s="356">
        <f t="shared" si="17"/>
        <v>2.2142857142857144</v>
      </c>
      <c r="AO51" s="356">
        <f t="shared" si="17"/>
        <v>2.2142857142857144</v>
      </c>
      <c r="AP51" s="356">
        <f t="shared" si="17"/>
        <v>2.2142857142857144</v>
      </c>
      <c r="AQ51" s="356">
        <f t="shared" si="17"/>
        <v>2.2142857142857144</v>
      </c>
      <c r="AR51" s="356">
        <f t="shared" si="17"/>
        <v>2.2142857142857144</v>
      </c>
      <c r="AS51" s="356">
        <f t="shared" si="17"/>
        <v>2.2142857142857144</v>
      </c>
      <c r="AT51" s="356">
        <f t="shared" si="17"/>
        <v>2.2142857142857144</v>
      </c>
      <c r="AU51" s="356">
        <f t="shared" si="17"/>
        <v>2.2142857142857144</v>
      </c>
      <c r="AV51" s="356">
        <f t="shared" si="17"/>
        <v>2.2142857142857144</v>
      </c>
      <c r="AW51" s="356">
        <f t="shared" si="17"/>
        <v>2.2142857142857144</v>
      </c>
      <c r="AX51" s="356">
        <f t="shared" si="17"/>
        <v>2.2142857142857144</v>
      </c>
      <c r="AY51" s="356">
        <f t="shared" si="17"/>
        <v>2.2142857142857144</v>
      </c>
      <c r="AZ51" s="356">
        <f t="shared" si="17"/>
        <v>2.2142857142857144</v>
      </c>
      <c r="BA51" s="356">
        <f t="shared" si="17"/>
        <v>2.2142857142857144</v>
      </c>
      <c r="BB51" s="356">
        <f t="shared" si="17"/>
        <v>2.2142857142857144</v>
      </c>
      <c r="BC51" s="356">
        <f t="shared" ref="BC51:BD51" si="19">BB51</f>
        <v>2.2142857142857144</v>
      </c>
      <c r="BD51" s="356">
        <f t="shared" si="19"/>
        <v>2.2142857142857144</v>
      </c>
      <c r="BE51" s="356"/>
      <c r="BF51" s="356"/>
      <c r="BG51"/>
      <c r="BH51"/>
    </row>
    <row r="52" spans="1:60" x14ac:dyDescent="0.25">
      <c r="A52" s="15" t="s">
        <v>450</v>
      </c>
      <c r="H52" s="18">
        <v>0</v>
      </c>
      <c r="BG52"/>
      <c r="BH52"/>
    </row>
  </sheetData>
  <mergeCells count="18">
    <mergeCell ref="BX14:BY14"/>
    <mergeCell ref="BX15:BY15"/>
    <mergeCell ref="BX16:BY16"/>
    <mergeCell ref="BH2:BV2"/>
    <mergeCell ref="BH3:BV3"/>
    <mergeCell ref="BH13:BL13"/>
    <mergeCell ref="BH1:BJ1"/>
    <mergeCell ref="BH21:BO21"/>
    <mergeCell ref="BH18:BO18"/>
    <mergeCell ref="BH19:BO19"/>
    <mergeCell ref="BH11:BO11"/>
    <mergeCell ref="BH14:BL14"/>
    <mergeCell ref="BH15:BL15"/>
    <mergeCell ref="BH16:BL16"/>
    <mergeCell ref="BN13:BO13"/>
    <mergeCell ref="BN14:BO14"/>
    <mergeCell ref="BN15:BO15"/>
    <mergeCell ref="BN16:BO16"/>
  </mergeCells>
  <phoneticPr fontId="17" alignment="center"/>
  <dataValidations count="3">
    <dataValidation type="list" allowBlank="1" showInputMessage="1" showErrorMessage="1" sqref="BH4:BV4" xr:uid="{00000000-0002-0000-1E00-000000000000}">
      <formula1>$A$3:$A$52</formula1>
    </dataValidation>
    <dataValidation type="list" allowBlank="1" showInputMessage="1" showErrorMessage="1" sqref="BH8" xr:uid="{00000000-0002-0000-1E00-000001000000}">
      <mc:AlternateContent xmlns:x12ac="http://schemas.microsoft.com/office/spreadsheetml/2011/1/ac" xmlns:mc="http://schemas.openxmlformats.org/markup-compatibility/2006">
        <mc:Choice Requires="x12ac">
          <x12ac:list>"0,1","0,15","0,2","0,25","0,3","0,35","0,4","0,45","0,5","0,6","0,7","0,8","0,9","1,0","1,1","1,2","1,3","1,4","1,5","1,6","1,7","1,8","1,9","2,0","2,1","2,2","2,3","2,4","2,5","2,6","2,7","2,8","2,9","3,0","3,5","4,0","4,5","5,0"</x12ac:list>
        </mc:Choice>
        <mc:Fallback>
          <formula1>"0,1,0,15,0,2,0,25,0,3,0,35,0,4,0,45,0,5,0,6,0,7,0,8,0,9,1,0,1,1,1,2,1,3,1,4,1,5,1,6,1,7,1,8,1,9,2,0,2,1,2,2,2,3,2,4,2,5,2,6,2,7,2,8,2,9,3,0,3,5,4,0,4,5,5,0"</formula1>
        </mc:Fallback>
      </mc:AlternateContent>
    </dataValidation>
    <dataValidation type="list" allowBlank="1" showInputMessage="1" showErrorMessage="1" sqref="BI8" xr:uid="{00000000-0002-0000-1E00-000002000000}">
      <formula1>"магнитная поверхность,гладкая немагнитная поверхность,кирпичная поверхность"</formula1>
    </dataValidation>
  </dataValidations>
  <hyperlinks>
    <hyperlink ref="BW2" location="СОДЕРЖАНИЕ!A1" display="назад к содержанию" xr:uid="{00000000-0004-0000-1E00-000000000000}"/>
    <hyperlink ref="CA2" location="Спасибо!A3" display="Спасибо!" xr:uid="{A74EE1DB-21FA-7141-9C7D-102852114B6E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1"/>
  <sheetViews>
    <sheetView workbookViewId="0">
      <selection activeCell="H13" sqref="H13"/>
    </sheetView>
  </sheetViews>
  <sheetFormatPr defaultColWidth="8.5703125" defaultRowHeight="15" x14ac:dyDescent="0.25"/>
  <cols>
    <col min="1" max="1" width="5.140625" style="340" customWidth="1"/>
    <col min="2" max="2" width="48.42578125" style="316" customWidth="1"/>
    <col min="3" max="3" width="9.7109375" style="316" customWidth="1"/>
    <col min="4" max="4" width="23.140625" style="316" customWidth="1"/>
    <col min="5" max="5" width="12.7109375" style="15" customWidth="1"/>
    <col min="6" max="7" width="8.5703125" hidden="1" customWidth="1"/>
  </cols>
  <sheetData>
    <row r="1" spans="1:8" ht="15.75" thickBot="1" x14ac:dyDescent="0.3">
      <c r="B1" s="754" t="str">
        <f>'3.8 Буквы'!BH1</f>
        <v>Актуально на 01 апреля 2022</v>
      </c>
    </row>
    <row r="2" spans="1:8" ht="30.75" thickBot="1" x14ac:dyDescent="0.4">
      <c r="A2" s="1259" t="s">
        <v>418</v>
      </c>
      <c r="B2" s="1182"/>
      <c r="C2" s="1260"/>
      <c r="D2" s="1261"/>
      <c r="E2" s="292" t="s">
        <v>302</v>
      </c>
      <c r="H2" s="579" t="s">
        <v>622</v>
      </c>
    </row>
    <row r="3" spans="1:8" ht="24" customHeight="1" x14ac:dyDescent="0.25">
      <c r="A3" s="633"/>
      <c r="B3" s="656" t="s">
        <v>2</v>
      </c>
      <c r="C3" s="631" t="s">
        <v>704</v>
      </c>
      <c r="D3" s="631" t="s">
        <v>4</v>
      </c>
    </row>
    <row r="4" spans="1:8" x14ac:dyDescent="0.25">
      <c r="A4" s="630">
        <v>1</v>
      </c>
      <c r="B4" s="563" t="s">
        <v>696</v>
      </c>
      <c r="C4" s="629" t="s">
        <v>700</v>
      </c>
      <c r="D4" s="643">
        <f>'4.2 Корзины под сплиты'!D7</f>
        <v>610</v>
      </c>
      <c r="F4" s="643"/>
      <c r="G4" s="482">
        <f>инфляция!A2</f>
        <v>0.32590000000000002</v>
      </c>
    </row>
    <row r="5" spans="1:8" x14ac:dyDescent="0.25">
      <c r="A5" s="630">
        <v>2</v>
      </c>
      <c r="B5" s="563" t="s">
        <v>697</v>
      </c>
      <c r="C5" s="629" t="s">
        <v>700</v>
      </c>
      <c r="D5" s="643">
        <f>'4.2 Корзины под сплиты'!E7</f>
        <v>670</v>
      </c>
      <c r="F5" s="643"/>
      <c r="G5" s="482">
        <f>G4</f>
        <v>0.32590000000000002</v>
      </c>
    </row>
    <row r="6" spans="1:8" ht="30" x14ac:dyDescent="0.25">
      <c r="A6" s="630">
        <v>3</v>
      </c>
      <c r="B6" s="563" t="s">
        <v>698</v>
      </c>
      <c r="C6" s="629" t="s">
        <v>700</v>
      </c>
      <c r="D6" s="643">
        <f>'4.2 Корзины под сплиты'!F7</f>
        <v>800</v>
      </c>
      <c r="F6" s="643"/>
      <c r="G6" s="482">
        <f t="shared" ref="G6:G39" si="0">G5</f>
        <v>0.32590000000000002</v>
      </c>
    </row>
    <row r="7" spans="1:8" ht="30" x14ac:dyDescent="0.25">
      <c r="A7" s="630">
        <v>4</v>
      </c>
      <c r="B7" s="563" t="s">
        <v>699</v>
      </c>
      <c r="C7" s="629" t="s">
        <v>700</v>
      </c>
      <c r="D7" s="643">
        <f>'4.2 Корзины под сплиты'!G7</f>
        <v>880</v>
      </c>
      <c r="F7" s="643"/>
      <c r="G7" s="482">
        <f t="shared" si="0"/>
        <v>0.32590000000000002</v>
      </c>
    </row>
    <row r="8" spans="1:8" ht="30" x14ac:dyDescent="0.25">
      <c r="A8" s="630">
        <v>5</v>
      </c>
      <c r="B8" s="853" t="s">
        <v>708</v>
      </c>
      <c r="C8" s="629" t="s">
        <v>35</v>
      </c>
      <c r="D8" s="643">
        <f>MROUND((F8+F8*G8),10)</f>
        <v>760</v>
      </c>
      <c r="F8" s="643">
        <v>570</v>
      </c>
      <c r="G8" s="482">
        <f t="shared" si="0"/>
        <v>0.32590000000000002</v>
      </c>
    </row>
    <row r="9" spans="1:8" x14ac:dyDescent="0.25">
      <c r="A9" s="630">
        <v>6</v>
      </c>
      <c r="B9" s="853" t="s">
        <v>705</v>
      </c>
      <c r="C9" s="629" t="s">
        <v>35</v>
      </c>
      <c r="D9" s="643">
        <f>MROUND((F9+F9*G9),10)</f>
        <v>630</v>
      </c>
      <c r="F9" s="643">
        <v>475</v>
      </c>
      <c r="G9" s="482">
        <f t="shared" si="0"/>
        <v>0.32590000000000002</v>
      </c>
    </row>
    <row r="10" spans="1:8" s="374" customFormat="1" ht="22.5" customHeight="1" x14ac:dyDescent="0.25">
      <c r="A10" s="1247" t="s">
        <v>434</v>
      </c>
      <c r="B10" s="1248"/>
      <c r="C10" s="1248"/>
      <c r="D10" s="1249"/>
      <c r="G10" s="482">
        <f t="shared" si="0"/>
        <v>0.32590000000000002</v>
      </c>
    </row>
    <row r="11" spans="1:8" s="374" customFormat="1" ht="22.5" customHeight="1" x14ac:dyDescent="0.25">
      <c r="A11" s="1262" t="s">
        <v>714</v>
      </c>
      <c r="B11" s="1263"/>
      <c r="C11" s="1263"/>
      <c r="D11" s="1264"/>
      <c r="G11" s="482"/>
    </row>
    <row r="12" spans="1:8" s="696" customFormat="1" ht="31.5" customHeight="1" x14ac:dyDescent="0.25">
      <c r="A12" s="859" t="s">
        <v>761</v>
      </c>
      <c r="B12" s="860"/>
      <c r="C12" s="860"/>
      <c r="D12" s="861"/>
      <c r="G12" s="697"/>
    </row>
    <row r="13" spans="1:8" ht="45" x14ac:dyDescent="0.25">
      <c r="A13" s="339">
        <v>7</v>
      </c>
      <c r="B13" s="636" t="s">
        <v>770</v>
      </c>
      <c r="C13" s="337" t="s">
        <v>433</v>
      </c>
      <c r="D13" s="643">
        <f>MROUND((F13+F13*G13),10)</f>
        <v>1130</v>
      </c>
      <c r="F13" s="643">
        <v>855</v>
      </c>
      <c r="G13" s="482">
        <f>G10</f>
        <v>0.32590000000000002</v>
      </c>
    </row>
    <row r="14" spans="1:8" ht="30" x14ac:dyDescent="0.25">
      <c r="A14" s="339">
        <v>8</v>
      </c>
      <c r="B14" s="636" t="s">
        <v>419</v>
      </c>
      <c r="C14" s="337" t="s">
        <v>35</v>
      </c>
      <c r="D14" s="643">
        <f>MROUND((F14+F14*G14),50)</f>
        <v>2250</v>
      </c>
      <c r="F14" s="643">
        <v>1710</v>
      </c>
      <c r="G14" s="482">
        <f t="shared" si="0"/>
        <v>0.32590000000000002</v>
      </c>
    </row>
    <row r="15" spans="1:8" s="15" customFormat="1" ht="27" customHeight="1" x14ac:dyDescent="0.25">
      <c r="A15" s="1250" t="s">
        <v>435</v>
      </c>
      <c r="B15" s="1251"/>
      <c r="C15" s="1251"/>
      <c r="D15" s="1252"/>
      <c r="G15" s="482">
        <f t="shared" si="0"/>
        <v>0.32590000000000002</v>
      </c>
    </row>
    <row r="16" spans="1:8" ht="30" x14ac:dyDescent="0.25">
      <c r="A16" s="339">
        <v>9</v>
      </c>
      <c r="B16" s="637" t="s">
        <v>420</v>
      </c>
      <c r="C16" s="337" t="s">
        <v>433</v>
      </c>
      <c r="D16" s="643">
        <f>MROUND((F16+F16*G16),50)</f>
        <v>2400</v>
      </c>
      <c r="F16" s="643">
        <v>1805</v>
      </c>
      <c r="G16" s="482">
        <f t="shared" si="0"/>
        <v>0.32590000000000002</v>
      </c>
    </row>
    <row r="17" spans="1:7" ht="30" x14ac:dyDescent="0.25">
      <c r="A17" s="339">
        <v>10</v>
      </c>
      <c r="B17" s="637" t="s">
        <v>419</v>
      </c>
      <c r="C17" s="337" t="s">
        <v>35</v>
      </c>
      <c r="D17" s="643">
        <f>MROUND((F17+F17*G17),50)</f>
        <v>4800</v>
      </c>
      <c r="F17" s="643">
        <v>3615</v>
      </c>
      <c r="G17" s="482">
        <f t="shared" si="0"/>
        <v>0.32590000000000002</v>
      </c>
    </row>
    <row r="18" spans="1:7" s="15" customFormat="1" ht="21" customHeight="1" x14ac:dyDescent="0.25">
      <c r="A18" s="1253" t="s">
        <v>436</v>
      </c>
      <c r="B18" s="1254"/>
      <c r="C18" s="1254"/>
      <c r="D18" s="1255"/>
      <c r="G18" s="482">
        <f t="shared" si="0"/>
        <v>0.32590000000000002</v>
      </c>
    </row>
    <row r="19" spans="1:7" x14ac:dyDescent="0.25">
      <c r="A19" s="339">
        <v>11</v>
      </c>
      <c r="B19" s="638" t="s">
        <v>421</v>
      </c>
      <c r="C19" s="337" t="s">
        <v>433</v>
      </c>
      <c r="D19" s="643">
        <f>MROUND((F19+F19*G19),50)</f>
        <v>2650</v>
      </c>
      <c r="F19" s="643">
        <v>2000</v>
      </c>
      <c r="G19" s="482">
        <f t="shared" si="0"/>
        <v>0.32590000000000002</v>
      </c>
    </row>
    <row r="20" spans="1:7" ht="30" x14ac:dyDescent="0.25">
      <c r="A20" s="339">
        <v>12</v>
      </c>
      <c r="B20" s="638" t="s">
        <v>419</v>
      </c>
      <c r="C20" s="337" t="s">
        <v>35</v>
      </c>
      <c r="D20" s="643">
        <f t="shared" ref="D20" si="1">MROUND((F20+F20*G20),50)</f>
        <v>5300</v>
      </c>
      <c r="F20" s="643">
        <v>4000</v>
      </c>
      <c r="G20" s="482">
        <f t="shared" si="0"/>
        <v>0.32590000000000002</v>
      </c>
    </row>
    <row r="21" spans="1:7" ht="30" x14ac:dyDescent="0.25">
      <c r="A21" s="339">
        <v>13</v>
      </c>
      <c r="B21" s="638" t="s">
        <v>707</v>
      </c>
      <c r="C21" s="337" t="s">
        <v>12</v>
      </c>
      <c r="D21" s="643">
        <f>MROUND((F21+F21*G21),10)</f>
        <v>530</v>
      </c>
      <c r="F21" s="644">
        <v>400</v>
      </c>
      <c r="G21" s="482">
        <f t="shared" si="0"/>
        <v>0.32590000000000002</v>
      </c>
    </row>
    <row r="22" spans="1:7" s="211" customFormat="1" x14ac:dyDescent="0.25">
      <c r="A22" s="1256" t="s">
        <v>715</v>
      </c>
      <c r="B22" s="1257"/>
      <c r="C22" s="1257"/>
      <c r="D22" s="1258"/>
      <c r="E22" s="374"/>
      <c r="G22" s="482">
        <f t="shared" si="0"/>
        <v>0.32590000000000002</v>
      </c>
    </row>
    <row r="23" spans="1:7" ht="30" x14ac:dyDescent="0.25">
      <c r="A23" s="339">
        <v>14</v>
      </c>
      <c r="B23" s="654" t="s">
        <v>422</v>
      </c>
      <c r="C23" s="632" t="s">
        <v>703</v>
      </c>
      <c r="D23" s="655">
        <v>1.5</v>
      </c>
      <c r="G23" s="482">
        <f t="shared" si="0"/>
        <v>0.32590000000000002</v>
      </c>
    </row>
    <row r="24" spans="1:7" ht="30" x14ac:dyDescent="0.25">
      <c r="A24" s="339">
        <v>15</v>
      </c>
      <c r="B24" s="654" t="s">
        <v>419</v>
      </c>
      <c r="C24" s="632" t="s">
        <v>703</v>
      </c>
      <c r="D24" s="655">
        <v>1.5</v>
      </c>
      <c r="G24" s="482">
        <f t="shared" si="0"/>
        <v>0.32590000000000002</v>
      </c>
    </row>
    <row r="25" spans="1:7" s="219" customFormat="1" ht="33" customHeight="1" x14ac:dyDescent="0.25">
      <c r="A25" s="1277" t="s">
        <v>701</v>
      </c>
      <c r="B25" s="1278"/>
      <c r="C25" s="1278"/>
      <c r="D25" s="1279"/>
      <c r="E25" s="15"/>
      <c r="G25" s="482">
        <f t="shared" si="0"/>
        <v>0.32590000000000002</v>
      </c>
    </row>
    <row r="26" spans="1:7" ht="30" x14ac:dyDescent="0.25">
      <c r="A26" s="339">
        <v>16</v>
      </c>
      <c r="B26" s="639" t="s">
        <v>431</v>
      </c>
      <c r="C26" s="628" t="s">
        <v>433</v>
      </c>
      <c r="D26" s="635">
        <f>MROUND((F26+F26*G26),10)</f>
        <v>360</v>
      </c>
      <c r="F26" s="635">
        <v>275</v>
      </c>
      <c r="G26" s="482">
        <f t="shared" si="0"/>
        <v>0.32590000000000002</v>
      </c>
    </row>
    <row r="27" spans="1:7" ht="30" x14ac:dyDescent="0.25">
      <c r="A27" s="339">
        <v>17</v>
      </c>
      <c r="B27" s="639" t="s">
        <v>430</v>
      </c>
      <c r="C27" s="628" t="s">
        <v>433</v>
      </c>
      <c r="D27" s="635">
        <f t="shared" ref="D27:D31" si="2">MROUND((F27+F27*G27),10)</f>
        <v>460</v>
      </c>
      <c r="F27" s="635">
        <v>350</v>
      </c>
      <c r="G27" s="482">
        <f t="shared" si="0"/>
        <v>0.32590000000000002</v>
      </c>
    </row>
    <row r="28" spans="1:7" ht="30" x14ac:dyDescent="0.25">
      <c r="A28" s="630">
        <v>18</v>
      </c>
      <c r="B28" s="640" t="s">
        <v>429</v>
      </c>
      <c r="C28" s="628" t="s">
        <v>433</v>
      </c>
      <c r="D28" s="635">
        <f t="shared" si="2"/>
        <v>530</v>
      </c>
      <c r="F28" s="635">
        <v>400</v>
      </c>
      <c r="G28" s="482">
        <f t="shared" si="0"/>
        <v>0.32590000000000002</v>
      </c>
    </row>
    <row r="29" spans="1:7" ht="30" x14ac:dyDescent="0.25">
      <c r="A29" s="630">
        <v>19</v>
      </c>
      <c r="B29" s="640" t="s">
        <v>428</v>
      </c>
      <c r="C29" s="628" t="s">
        <v>433</v>
      </c>
      <c r="D29" s="635">
        <f t="shared" si="2"/>
        <v>660</v>
      </c>
      <c r="F29" s="635">
        <v>500</v>
      </c>
      <c r="G29" s="482">
        <f t="shared" si="0"/>
        <v>0.32590000000000002</v>
      </c>
    </row>
    <row r="30" spans="1:7" ht="30" x14ac:dyDescent="0.25">
      <c r="A30" s="630">
        <v>20</v>
      </c>
      <c r="B30" s="639" t="s">
        <v>423</v>
      </c>
      <c r="C30" s="628" t="s">
        <v>433</v>
      </c>
      <c r="D30" s="635">
        <f t="shared" si="2"/>
        <v>320</v>
      </c>
      <c r="F30" s="635">
        <v>245</v>
      </c>
      <c r="G30" s="482">
        <f t="shared" si="0"/>
        <v>0.32590000000000002</v>
      </c>
    </row>
    <row r="31" spans="1:7" ht="30" x14ac:dyDescent="0.25">
      <c r="A31" s="630">
        <v>21</v>
      </c>
      <c r="B31" s="639" t="s">
        <v>424</v>
      </c>
      <c r="C31" s="628" t="s">
        <v>433</v>
      </c>
      <c r="D31" s="635">
        <f t="shared" si="2"/>
        <v>420</v>
      </c>
      <c r="F31" s="635">
        <v>315</v>
      </c>
      <c r="G31" s="482">
        <f t="shared" si="0"/>
        <v>0.32590000000000002</v>
      </c>
    </row>
    <row r="32" spans="1:7" s="211" customFormat="1" ht="21" customHeight="1" x14ac:dyDescent="0.25">
      <c r="A32" s="1265" t="s">
        <v>706</v>
      </c>
      <c r="B32" s="1266"/>
      <c r="C32" s="1266"/>
      <c r="D32" s="1267"/>
      <c r="E32" s="374"/>
      <c r="G32" s="482">
        <f t="shared" si="0"/>
        <v>0.32590000000000002</v>
      </c>
    </row>
    <row r="33" spans="1:7" ht="45" x14ac:dyDescent="0.25">
      <c r="A33" s="339">
        <v>22</v>
      </c>
      <c r="B33" s="641" t="s">
        <v>425</v>
      </c>
      <c r="C33" s="337" t="s">
        <v>35</v>
      </c>
      <c r="D33" s="634">
        <f>MROUND((F33+F33*G33),10)</f>
        <v>1330</v>
      </c>
      <c r="F33" s="634">
        <v>1000</v>
      </c>
      <c r="G33" s="482">
        <f t="shared" si="0"/>
        <v>0.32590000000000002</v>
      </c>
    </row>
    <row r="34" spans="1:7" x14ac:dyDescent="0.25">
      <c r="A34" s="339">
        <v>23</v>
      </c>
      <c r="B34" s="641" t="s">
        <v>426</v>
      </c>
      <c r="C34" s="337" t="s">
        <v>559</v>
      </c>
      <c r="D34" s="634">
        <f>MROUND((F34+F34*G34),10)</f>
        <v>930</v>
      </c>
      <c r="F34" s="634">
        <v>700</v>
      </c>
      <c r="G34" s="482">
        <f t="shared" si="0"/>
        <v>0.32590000000000002</v>
      </c>
    </row>
    <row r="35" spans="1:7" ht="20.25" customHeight="1" x14ac:dyDescent="0.25">
      <c r="A35" s="1268" t="s">
        <v>437</v>
      </c>
      <c r="B35" s="1269"/>
      <c r="C35" s="1269"/>
      <c r="D35" s="1270"/>
      <c r="G35" s="482">
        <f t="shared" si="0"/>
        <v>0.32590000000000002</v>
      </c>
    </row>
    <row r="36" spans="1:7" ht="30" x14ac:dyDescent="0.25">
      <c r="A36" s="339">
        <v>24</v>
      </c>
      <c r="B36" s="642" t="s">
        <v>702</v>
      </c>
      <c r="C36" s="337" t="s">
        <v>12</v>
      </c>
      <c r="D36" s="634">
        <f>MROUND((F36+F36*G36),10)</f>
        <v>200</v>
      </c>
      <c r="F36" s="634">
        <v>150</v>
      </c>
      <c r="G36" s="482">
        <f t="shared" si="0"/>
        <v>0.32590000000000002</v>
      </c>
    </row>
    <row r="37" spans="1:7" ht="30" x14ac:dyDescent="0.25">
      <c r="A37" s="339">
        <v>25</v>
      </c>
      <c r="B37" s="642" t="s">
        <v>427</v>
      </c>
      <c r="C37" s="337" t="s">
        <v>12</v>
      </c>
      <c r="D37" s="634">
        <f>MROUND((F37+F37*G37),10)</f>
        <v>300</v>
      </c>
      <c r="F37" s="634">
        <v>230</v>
      </c>
      <c r="G37" s="482">
        <f t="shared" si="0"/>
        <v>0.32590000000000002</v>
      </c>
    </row>
    <row r="38" spans="1:7" x14ac:dyDescent="0.25">
      <c r="A38" s="1271"/>
      <c r="B38" s="1272"/>
      <c r="C38" s="1272"/>
      <c r="D38" s="1273"/>
      <c r="G38" s="482">
        <f t="shared" si="0"/>
        <v>0.32590000000000002</v>
      </c>
    </row>
    <row r="39" spans="1:7" ht="30" x14ac:dyDescent="0.25">
      <c r="A39" s="339">
        <v>26</v>
      </c>
      <c r="B39" s="563" t="s">
        <v>432</v>
      </c>
      <c r="C39" s="337" t="s">
        <v>559</v>
      </c>
      <c r="D39" s="634">
        <f>MROUND((F39+F39*G39),100)</f>
        <v>5000</v>
      </c>
      <c r="F39" s="634">
        <v>3800</v>
      </c>
      <c r="G39" s="482">
        <f t="shared" si="0"/>
        <v>0.32590000000000002</v>
      </c>
    </row>
    <row r="41" spans="1:7" ht="24" customHeight="1" x14ac:dyDescent="0.25">
      <c r="A41" s="858" t="s">
        <v>668</v>
      </c>
      <c r="B41" s="858"/>
      <c r="C41" s="858"/>
      <c r="D41" s="858"/>
    </row>
    <row r="43" spans="1:7" ht="23.25" x14ac:dyDescent="0.25">
      <c r="B43" s="1280" t="s">
        <v>506</v>
      </c>
      <c r="C43" s="1280"/>
      <c r="D43" s="1280"/>
      <c r="E43" s="1280"/>
    </row>
    <row r="44" spans="1:7" ht="30" x14ac:dyDescent="0.25">
      <c r="B44" s="646" t="s">
        <v>438</v>
      </c>
      <c r="C44" s="651" t="s">
        <v>712</v>
      </c>
      <c r="D44" s="1220" t="s">
        <v>711</v>
      </c>
      <c r="E44" s="1222"/>
    </row>
    <row r="45" spans="1:7" x14ac:dyDescent="0.25">
      <c r="B45" s="165" t="s">
        <v>439</v>
      </c>
      <c r="C45" s="652">
        <v>560</v>
      </c>
      <c r="D45" s="1274">
        <f>(C45/1000)*3.14</f>
        <v>1.7584000000000002</v>
      </c>
      <c r="E45" s="1275"/>
    </row>
    <row r="46" spans="1:7" x14ac:dyDescent="0.25">
      <c r="B46" s="647"/>
      <c r="C46" s="648"/>
      <c r="D46" s="649"/>
      <c r="E46" s="650"/>
    </row>
    <row r="47" spans="1:7" ht="15" customHeight="1" x14ac:dyDescent="0.25">
      <c r="B47" s="645" t="s">
        <v>440</v>
      </c>
      <c r="C47" s="627"/>
      <c r="D47" s="1220" t="s">
        <v>711</v>
      </c>
      <c r="E47" s="1222"/>
    </row>
    <row r="48" spans="1:7" x14ac:dyDescent="0.25">
      <c r="B48" s="645" t="s">
        <v>709</v>
      </c>
      <c r="C48" s="653">
        <v>285</v>
      </c>
      <c r="D48" s="1276">
        <f>(C48+C49)/500</f>
        <v>1.47</v>
      </c>
      <c r="E48" s="1276"/>
    </row>
    <row r="49" spans="2:5" x14ac:dyDescent="0.25">
      <c r="B49" s="645" t="s">
        <v>710</v>
      </c>
      <c r="C49" s="653">
        <v>450</v>
      </c>
      <c r="D49" s="1276"/>
      <c r="E49" s="1276"/>
    </row>
    <row r="51" spans="2:5" x14ac:dyDescent="0.25">
      <c r="B51" s="1063" t="s">
        <v>713</v>
      </c>
      <c r="C51" s="1063"/>
      <c r="D51" s="1063"/>
      <c r="E51" s="1063"/>
    </row>
  </sheetData>
  <mergeCells count="18">
    <mergeCell ref="B51:E51"/>
    <mergeCell ref="A11:D11"/>
    <mergeCell ref="A32:D32"/>
    <mergeCell ref="A35:D35"/>
    <mergeCell ref="A38:D38"/>
    <mergeCell ref="A41:D41"/>
    <mergeCell ref="D44:E44"/>
    <mergeCell ref="D45:E45"/>
    <mergeCell ref="D47:E47"/>
    <mergeCell ref="D48:E49"/>
    <mergeCell ref="A25:D25"/>
    <mergeCell ref="B43:E43"/>
    <mergeCell ref="A10:D10"/>
    <mergeCell ref="A15:D15"/>
    <mergeCell ref="A18:D18"/>
    <mergeCell ref="A22:D22"/>
    <mergeCell ref="A2:D2"/>
    <mergeCell ref="A12:D12"/>
  </mergeCells>
  <phoneticPr fontId="17" alignment="center"/>
  <hyperlinks>
    <hyperlink ref="E2" location="СОДЕРЖАНИЕ!A1" display="назад к содержанию" xr:uid="{00000000-0004-0000-1F00-000000000000}"/>
    <hyperlink ref="H2" location="Спасибо!A3" display="Спасибо!" xr:uid="{9A92A0ED-3E23-C445-B36F-167D92301F9A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29"/>
  <sheetViews>
    <sheetView workbookViewId="0">
      <selection activeCell="B30" sqref="B30"/>
    </sheetView>
  </sheetViews>
  <sheetFormatPr defaultColWidth="8.5703125" defaultRowHeight="15.75" x14ac:dyDescent="0.25"/>
  <cols>
    <col min="1" max="1" width="3.5703125" style="340" bestFit="1" customWidth="1"/>
    <col min="2" max="2" width="46.85546875" style="316" customWidth="1"/>
    <col min="3" max="3" width="7.42578125" style="316" bestFit="1" customWidth="1"/>
    <col min="4" max="4" width="11.28515625" style="316" customWidth="1"/>
    <col min="5" max="5" width="12.28515625" style="316" customWidth="1"/>
    <col min="6" max="6" width="12.7109375" style="316" customWidth="1"/>
    <col min="7" max="7" width="15.140625" style="316" customWidth="1"/>
    <col min="8" max="8" width="12.7109375" style="15" customWidth="1"/>
    <col min="9" max="9" width="11.42578125" style="314" hidden="1" customWidth="1"/>
    <col min="10" max="10" width="8.5703125" hidden="1" customWidth="1"/>
    <col min="11" max="11" width="47.5703125" hidden="1" customWidth="1"/>
    <col min="12" max="15" width="8.7109375" style="315" hidden="1" customWidth="1"/>
    <col min="16" max="16" width="0" hidden="1" customWidth="1"/>
  </cols>
  <sheetData>
    <row r="1" spans="1:17" ht="16.5" thickBot="1" x14ac:dyDescent="0.3">
      <c r="B1" s="754" t="str">
        <f>'3.9 Воздуховоды'!B1</f>
        <v>Актуально на 01 апреля 2022</v>
      </c>
    </row>
    <row r="2" spans="1:17" ht="30.75" thickBot="1" x14ac:dyDescent="0.4">
      <c r="A2" s="391"/>
      <c r="B2" s="1284" t="s">
        <v>523</v>
      </c>
      <c r="C2" s="1285"/>
      <c r="D2" s="1285"/>
      <c r="E2" s="1285"/>
      <c r="F2" s="1285"/>
      <c r="G2" s="456"/>
      <c r="H2" s="292" t="s">
        <v>302</v>
      </c>
      <c r="I2" s="18"/>
      <c r="Q2" s="579" t="s">
        <v>622</v>
      </c>
    </row>
    <row r="3" spans="1:17" x14ac:dyDescent="0.25">
      <c r="A3" s="1287" t="s">
        <v>1</v>
      </c>
      <c r="B3" s="1286" t="s">
        <v>2</v>
      </c>
      <c r="C3" s="1286" t="s">
        <v>3</v>
      </c>
      <c r="D3" s="1286" t="s">
        <v>528</v>
      </c>
      <c r="E3" s="1286"/>
      <c r="F3" s="1286"/>
      <c r="G3" s="1286"/>
      <c r="Q3" s="18"/>
    </row>
    <row r="4" spans="1:17" ht="22.5" x14ac:dyDescent="0.25">
      <c r="A4" s="1287"/>
      <c r="B4" s="1286"/>
      <c r="C4" s="1286"/>
      <c r="D4" s="457" t="s">
        <v>119</v>
      </c>
      <c r="E4" s="457" t="s">
        <v>107</v>
      </c>
      <c r="F4" s="457" t="s">
        <v>526</v>
      </c>
      <c r="G4" s="457" t="s">
        <v>527</v>
      </c>
    </row>
    <row r="5" spans="1:17" x14ac:dyDescent="0.25">
      <c r="A5" s="1288" t="s">
        <v>529</v>
      </c>
      <c r="B5" s="1288"/>
      <c r="C5" s="1288"/>
      <c r="D5" s="1288"/>
      <c r="E5" s="1288"/>
      <c r="F5" s="1288"/>
      <c r="G5" s="1288"/>
    </row>
    <row r="6" spans="1:17" x14ac:dyDescent="0.25">
      <c r="A6" s="391">
        <v>1</v>
      </c>
      <c r="B6" s="463" t="s">
        <v>524</v>
      </c>
      <c r="C6" s="459" t="s">
        <v>12</v>
      </c>
      <c r="D6" s="460">
        <f>MROUND((L6+L6*P6),5)</f>
        <v>170</v>
      </c>
      <c r="E6" s="460">
        <f>MROUND((M6+M6*P6),5)</f>
        <v>210</v>
      </c>
      <c r="F6" s="460">
        <f>MROUND((N6+N6*P6),5)</f>
        <v>205</v>
      </c>
      <c r="G6" s="460">
        <f>MROUND((O6+O6*P6),5)</f>
        <v>210</v>
      </c>
      <c r="L6" s="460">
        <v>130</v>
      </c>
      <c r="M6" s="460">
        <v>160</v>
      </c>
      <c r="N6" s="460">
        <v>155</v>
      </c>
      <c r="O6" s="460">
        <v>160</v>
      </c>
      <c r="P6" s="482">
        <f>инфляция!A2</f>
        <v>0.32590000000000002</v>
      </c>
    </row>
    <row r="7" spans="1:17" x14ac:dyDescent="0.25">
      <c r="A7" s="391">
        <v>2</v>
      </c>
      <c r="B7" s="463" t="s">
        <v>525</v>
      </c>
      <c r="C7" s="459" t="s">
        <v>12</v>
      </c>
      <c r="D7" s="460">
        <f t="shared" ref="D7:D11" si="0">MROUND((L7+L7*P7),5)</f>
        <v>240</v>
      </c>
      <c r="E7" s="460">
        <f t="shared" ref="E7:E11" si="1">MROUND((M7+M7*P7),5)</f>
        <v>300</v>
      </c>
      <c r="F7" s="460">
        <f t="shared" ref="F7:F11" si="2">MROUND((N7+N7*P7),5)</f>
        <v>285</v>
      </c>
      <c r="G7" s="460">
        <f t="shared" ref="G7:G11" si="3">MROUND((O7+O7*P7),5)</f>
        <v>300</v>
      </c>
      <c r="L7" s="460">
        <v>180</v>
      </c>
      <c r="M7" s="460">
        <v>225</v>
      </c>
      <c r="N7" s="460">
        <v>215</v>
      </c>
      <c r="O7" s="460">
        <v>225</v>
      </c>
      <c r="P7" s="482">
        <f>P6</f>
        <v>0.32590000000000002</v>
      </c>
    </row>
    <row r="8" spans="1:17" x14ac:dyDescent="0.25">
      <c r="A8" s="391">
        <v>3</v>
      </c>
      <c r="B8" s="464" t="s">
        <v>530</v>
      </c>
      <c r="C8" s="459" t="s">
        <v>12</v>
      </c>
      <c r="D8" s="460">
        <f t="shared" si="0"/>
        <v>400</v>
      </c>
      <c r="E8" s="460">
        <f t="shared" si="1"/>
        <v>495</v>
      </c>
      <c r="F8" s="460">
        <f t="shared" si="2"/>
        <v>475</v>
      </c>
      <c r="G8" s="460">
        <f t="shared" si="3"/>
        <v>495</v>
      </c>
      <c r="L8" s="460">
        <v>300</v>
      </c>
      <c r="M8" s="460">
        <v>375</v>
      </c>
      <c r="N8" s="460">
        <v>360</v>
      </c>
      <c r="O8" s="460">
        <v>375</v>
      </c>
      <c r="P8" s="482">
        <f t="shared" ref="P8:P23" si="4">P7</f>
        <v>0.32590000000000002</v>
      </c>
    </row>
    <row r="9" spans="1:17" ht="18" customHeight="1" x14ac:dyDescent="0.25">
      <c r="A9" s="391">
        <v>4</v>
      </c>
      <c r="B9" s="464" t="s">
        <v>531</v>
      </c>
      <c r="C9" s="459" t="s">
        <v>12</v>
      </c>
      <c r="D9" s="460">
        <f t="shared" si="0"/>
        <v>400</v>
      </c>
      <c r="E9" s="460">
        <f t="shared" si="1"/>
        <v>495</v>
      </c>
      <c r="F9" s="460">
        <f t="shared" si="2"/>
        <v>475</v>
      </c>
      <c r="G9" s="460">
        <f t="shared" si="3"/>
        <v>495</v>
      </c>
      <c r="L9" s="460">
        <v>300</v>
      </c>
      <c r="M9" s="460">
        <v>375</v>
      </c>
      <c r="N9" s="460">
        <v>360</v>
      </c>
      <c r="O9" s="460">
        <v>375</v>
      </c>
      <c r="P9" s="482">
        <f t="shared" si="4"/>
        <v>0.32590000000000002</v>
      </c>
    </row>
    <row r="10" spans="1:17" ht="18" customHeight="1" x14ac:dyDescent="0.25">
      <c r="A10" s="391">
        <v>5</v>
      </c>
      <c r="B10" s="458" t="s">
        <v>533</v>
      </c>
      <c r="C10" s="459" t="s">
        <v>35</v>
      </c>
      <c r="D10" s="460">
        <f t="shared" si="0"/>
        <v>995</v>
      </c>
      <c r="E10" s="460">
        <f t="shared" si="1"/>
        <v>1240</v>
      </c>
      <c r="F10" s="460">
        <f t="shared" si="2"/>
        <v>1195</v>
      </c>
      <c r="G10" s="460">
        <f t="shared" si="3"/>
        <v>1240</v>
      </c>
      <c r="L10" s="460">
        <v>750</v>
      </c>
      <c r="M10" s="460">
        <v>935</v>
      </c>
      <c r="N10" s="460">
        <v>900</v>
      </c>
      <c r="O10" s="460">
        <v>935</v>
      </c>
      <c r="P10" s="482">
        <f t="shared" si="4"/>
        <v>0.32590000000000002</v>
      </c>
    </row>
    <row r="11" spans="1:17" ht="18" customHeight="1" x14ac:dyDescent="0.25">
      <c r="A11" s="391">
        <v>6</v>
      </c>
      <c r="B11" s="458" t="s">
        <v>534</v>
      </c>
      <c r="C11" s="459" t="s">
        <v>35</v>
      </c>
      <c r="D11" s="460">
        <f t="shared" si="0"/>
        <v>930</v>
      </c>
      <c r="E11" s="460">
        <f t="shared" si="1"/>
        <v>1160</v>
      </c>
      <c r="F11" s="460">
        <f t="shared" si="2"/>
        <v>1115</v>
      </c>
      <c r="G11" s="460">
        <f t="shared" si="3"/>
        <v>1160</v>
      </c>
      <c r="L11" s="460">
        <v>700</v>
      </c>
      <c r="M11" s="460">
        <v>875</v>
      </c>
      <c r="N11" s="460">
        <v>840</v>
      </c>
      <c r="O11" s="460">
        <v>875</v>
      </c>
      <c r="P11" s="482">
        <f t="shared" si="4"/>
        <v>0.32590000000000002</v>
      </c>
    </row>
    <row r="12" spans="1:17" x14ac:dyDescent="0.25">
      <c r="A12" s="1289" t="s">
        <v>532</v>
      </c>
      <c r="B12" s="1289"/>
      <c r="C12" s="1289"/>
      <c r="D12" s="1289"/>
      <c r="E12" s="1289"/>
      <c r="F12" s="1289"/>
      <c r="G12" s="1289"/>
      <c r="P12" s="482">
        <f t="shared" si="4"/>
        <v>0.32590000000000002</v>
      </c>
    </row>
    <row r="13" spans="1:17" x14ac:dyDescent="0.25">
      <c r="A13" s="391">
        <v>7</v>
      </c>
      <c r="B13" s="463" t="s">
        <v>524</v>
      </c>
      <c r="C13" s="459" t="s">
        <v>12</v>
      </c>
      <c r="D13" s="460">
        <f>MROUND((L13+L13*P13),5)</f>
        <v>225</v>
      </c>
      <c r="E13" s="460">
        <f>MROUND((M13+M13*P13),5)</f>
        <v>280</v>
      </c>
      <c r="F13" s="460">
        <f>MROUND((N13+N13*P13),5)</f>
        <v>270</v>
      </c>
      <c r="G13" s="460">
        <f>MROUND((O13+O13*P13),5)</f>
        <v>280</v>
      </c>
      <c r="L13" s="460">
        <v>170</v>
      </c>
      <c r="M13" s="460">
        <v>210</v>
      </c>
      <c r="N13" s="460">
        <v>205</v>
      </c>
      <c r="O13" s="460">
        <v>210</v>
      </c>
      <c r="P13" s="482">
        <f t="shared" si="4"/>
        <v>0.32590000000000002</v>
      </c>
    </row>
    <row r="14" spans="1:17" x14ac:dyDescent="0.25">
      <c r="A14" s="391">
        <v>8</v>
      </c>
      <c r="B14" s="463" t="s">
        <v>525</v>
      </c>
      <c r="C14" s="459" t="s">
        <v>12</v>
      </c>
      <c r="D14" s="460">
        <f t="shared" ref="D14" si="5">MROUND((L14+L14*P14),5)</f>
        <v>310</v>
      </c>
      <c r="E14" s="460">
        <f t="shared" ref="E14" si="6">MROUND((M14+M14*P14),5)</f>
        <v>390</v>
      </c>
      <c r="F14" s="460">
        <f t="shared" ref="F14" si="7">MROUND((N14+N14*P14),5)</f>
        <v>370</v>
      </c>
      <c r="G14" s="460">
        <f t="shared" ref="G14" si="8">MROUND((O14+O14*P14),5)</f>
        <v>390</v>
      </c>
      <c r="L14" s="460">
        <v>235</v>
      </c>
      <c r="M14" s="460">
        <v>295</v>
      </c>
      <c r="N14" s="460">
        <v>280</v>
      </c>
      <c r="O14" s="460">
        <v>295</v>
      </c>
      <c r="P14" s="482">
        <f t="shared" si="4"/>
        <v>0.32590000000000002</v>
      </c>
    </row>
    <row r="15" spans="1:17" x14ac:dyDescent="0.25">
      <c r="A15" s="391">
        <v>9</v>
      </c>
      <c r="B15" s="464" t="s">
        <v>530</v>
      </c>
      <c r="C15" s="459" t="s">
        <v>12</v>
      </c>
      <c r="D15" s="460">
        <f>MROUND((L15+L15*P15),50)</f>
        <v>500</v>
      </c>
      <c r="E15" s="460">
        <f>MROUND((M15+M15*P15),50)</f>
        <v>650</v>
      </c>
      <c r="F15" s="460">
        <f>MROUND((N15+N15*P15),50)</f>
        <v>600</v>
      </c>
      <c r="G15" s="460">
        <f>MROUND((O15+O15*P15),50)</f>
        <v>650</v>
      </c>
      <c r="L15" s="460">
        <v>390</v>
      </c>
      <c r="M15" s="460">
        <v>485</v>
      </c>
      <c r="N15" s="460">
        <v>470</v>
      </c>
      <c r="O15" s="460">
        <v>485</v>
      </c>
      <c r="P15" s="482">
        <f t="shared" si="4"/>
        <v>0.32590000000000002</v>
      </c>
    </row>
    <row r="16" spans="1:17" ht="22.15" customHeight="1" x14ac:dyDescent="0.25">
      <c r="A16" s="391">
        <v>10</v>
      </c>
      <c r="B16" s="464" t="s">
        <v>531</v>
      </c>
      <c r="C16" s="459" t="s">
        <v>12</v>
      </c>
      <c r="D16" s="460">
        <f t="shared" ref="D16:D18" si="9">MROUND((L16+L16*P16),50)</f>
        <v>500</v>
      </c>
      <c r="E16" s="460">
        <f t="shared" ref="E16:E18" si="10">MROUND((M16+M16*P16),50)</f>
        <v>650</v>
      </c>
      <c r="F16" s="460">
        <f t="shared" ref="F16:F18" si="11">MROUND((N16+N16*P16),50)</f>
        <v>600</v>
      </c>
      <c r="G16" s="460">
        <f t="shared" ref="G16:G18" si="12">MROUND((O16+O16*P16),50)</f>
        <v>650</v>
      </c>
      <c r="L16" s="460">
        <v>390</v>
      </c>
      <c r="M16" s="460">
        <v>485</v>
      </c>
      <c r="N16" s="460">
        <v>470</v>
      </c>
      <c r="O16" s="460">
        <v>485</v>
      </c>
      <c r="P16" s="482">
        <f t="shared" si="4"/>
        <v>0.32590000000000002</v>
      </c>
    </row>
    <row r="17" spans="1:16" x14ac:dyDescent="0.25">
      <c r="A17" s="391">
        <v>11</v>
      </c>
      <c r="B17" s="458" t="s">
        <v>533</v>
      </c>
      <c r="C17" s="459" t="s">
        <v>35</v>
      </c>
      <c r="D17" s="460">
        <f t="shared" si="9"/>
        <v>1300</v>
      </c>
      <c r="E17" s="460">
        <f t="shared" si="10"/>
        <v>1600</v>
      </c>
      <c r="F17" s="460">
        <f t="shared" si="11"/>
        <v>1550</v>
      </c>
      <c r="G17" s="460">
        <f t="shared" si="12"/>
        <v>1600</v>
      </c>
      <c r="L17" s="460">
        <v>975</v>
      </c>
      <c r="M17" s="460">
        <v>1200</v>
      </c>
      <c r="N17" s="460">
        <v>1170</v>
      </c>
      <c r="O17" s="460">
        <v>1200</v>
      </c>
      <c r="P17" s="482">
        <f t="shared" si="4"/>
        <v>0.32590000000000002</v>
      </c>
    </row>
    <row r="18" spans="1:16" x14ac:dyDescent="0.25">
      <c r="A18" s="391">
        <v>12</v>
      </c>
      <c r="B18" s="458" t="s">
        <v>534</v>
      </c>
      <c r="C18" s="459" t="s">
        <v>35</v>
      </c>
      <c r="D18" s="460">
        <f t="shared" si="9"/>
        <v>1200</v>
      </c>
      <c r="E18" s="460">
        <f t="shared" si="10"/>
        <v>1500</v>
      </c>
      <c r="F18" s="460">
        <f t="shared" si="11"/>
        <v>1450</v>
      </c>
      <c r="G18" s="460">
        <f t="shared" si="12"/>
        <v>1500</v>
      </c>
      <c r="L18" s="460">
        <v>910</v>
      </c>
      <c r="M18" s="460">
        <v>1140</v>
      </c>
      <c r="N18" s="460">
        <v>1090</v>
      </c>
      <c r="O18" s="460">
        <v>1140</v>
      </c>
      <c r="P18" s="482">
        <f t="shared" si="4"/>
        <v>0.32590000000000002</v>
      </c>
    </row>
    <row r="19" spans="1:16" x14ac:dyDescent="0.25">
      <c r="A19" s="1290" t="s">
        <v>537</v>
      </c>
      <c r="B19" s="1290"/>
      <c r="C19" s="1290"/>
      <c r="D19" s="1290"/>
      <c r="E19" s="1290"/>
      <c r="F19" s="1290"/>
      <c r="G19" s="1290"/>
      <c r="P19" s="482">
        <f t="shared" si="4"/>
        <v>0.32590000000000002</v>
      </c>
    </row>
    <row r="20" spans="1:16" ht="30" x14ac:dyDescent="0.25">
      <c r="A20" s="391">
        <v>13</v>
      </c>
      <c r="B20" s="461" t="s">
        <v>535</v>
      </c>
      <c r="C20" s="459" t="s">
        <v>35</v>
      </c>
      <c r="D20" s="1281">
        <f>MROUND((L20+L20*P20),50)</f>
        <v>600</v>
      </c>
      <c r="E20" s="1282"/>
      <c r="F20" s="1282"/>
      <c r="G20" s="1283"/>
      <c r="L20" s="1281">
        <v>450</v>
      </c>
      <c r="M20" s="1282"/>
      <c r="N20" s="1282"/>
      <c r="O20" s="1283"/>
      <c r="P20" s="482">
        <f t="shared" si="4"/>
        <v>0.32590000000000002</v>
      </c>
    </row>
    <row r="21" spans="1:16" ht="30" x14ac:dyDescent="0.25">
      <c r="A21" s="391">
        <v>14</v>
      </c>
      <c r="B21" s="461" t="s">
        <v>536</v>
      </c>
      <c r="C21" s="459" t="s">
        <v>35</v>
      </c>
      <c r="D21" s="1281">
        <f t="shared" ref="D21:D23" si="13">MROUND((L21+L21*P21),50)</f>
        <v>1150</v>
      </c>
      <c r="E21" s="1282"/>
      <c r="F21" s="1282"/>
      <c r="G21" s="1283"/>
      <c r="L21" s="1281">
        <v>850</v>
      </c>
      <c r="M21" s="1282"/>
      <c r="N21" s="1282"/>
      <c r="O21" s="1283"/>
      <c r="P21" s="482">
        <f t="shared" si="4"/>
        <v>0.32590000000000002</v>
      </c>
    </row>
    <row r="22" spans="1:16" ht="45" x14ac:dyDescent="0.25">
      <c r="A22" s="391">
        <v>15</v>
      </c>
      <c r="B22" s="462" t="s">
        <v>538</v>
      </c>
      <c r="C22" s="459" t="s">
        <v>35</v>
      </c>
      <c r="D22" s="1281">
        <f t="shared" si="13"/>
        <v>600</v>
      </c>
      <c r="E22" s="1282"/>
      <c r="F22" s="1282"/>
      <c r="G22" s="1283"/>
      <c r="L22" s="1281">
        <v>450</v>
      </c>
      <c r="M22" s="1282"/>
      <c r="N22" s="1282"/>
      <c r="O22" s="1283"/>
      <c r="P22" s="482">
        <f t="shared" si="4"/>
        <v>0.32590000000000002</v>
      </c>
    </row>
    <row r="23" spans="1:16" ht="45" x14ac:dyDescent="0.25">
      <c r="A23" s="391">
        <v>16</v>
      </c>
      <c r="B23" s="462" t="s">
        <v>539</v>
      </c>
      <c r="C23" s="459" t="s">
        <v>35</v>
      </c>
      <c r="D23" s="1281">
        <f t="shared" si="13"/>
        <v>1000</v>
      </c>
      <c r="E23" s="1282"/>
      <c r="F23" s="1282"/>
      <c r="G23" s="1283"/>
      <c r="L23" s="1281">
        <v>750</v>
      </c>
      <c r="M23" s="1282"/>
      <c r="N23" s="1282"/>
      <c r="O23" s="1283"/>
      <c r="P23" s="482">
        <f t="shared" si="4"/>
        <v>0.32590000000000002</v>
      </c>
    </row>
    <row r="24" spans="1:16" x14ac:dyDescent="0.25">
      <c r="B24" s="455"/>
    </row>
    <row r="25" spans="1:16" ht="23.25" customHeight="1" x14ac:dyDescent="0.25">
      <c r="A25" s="858" t="s">
        <v>668</v>
      </c>
      <c r="B25" s="858"/>
      <c r="C25" s="858"/>
      <c r="D25" s="858"/>
      <c r="E25" s="858"/>
      <c r="F25" s="858"/>
      <c r="G25" s="858"/>
    </row>
    <row r="26" spans="1:16" x14ac:dyDescent="0.25">
      <c r="B26" s="455"/>
    </row>
    <row r="27" spans="1:16" x14ac:dyDescent="0.25">
      <c r="B27" s="455"/>
    </row>
    <row r="28" spans="1:16" x14ac:dyDescent="0.25">
      <c r="B28" s="455"/>
    </row>
    <row r="29" spans="1:16" x14ac:dyDescent="0.25">
      <c r="B29" s="455"/>
    </row>
  </sheetData>
  <mergeCells count="17">
    <mergeCell ref="A3:A4"/>
    <mergeCell ref="D23:G23"/>
    <mergeCell ref="D21:G21"/>
    <mergeCell ref="A5:G5"/>
    <mergeCell ref="A12:G12"/>
    <mergeCell ref="A19:G19"/>
    <mergeCell ref="B2:F2"/>
    <mergeCell ref="D20:G20"/>
    <mergeCell ref="D3:G3"/>
    <mergeCell ref="C3:C4"/>
    <mergeCell ref="D22:G22"/>
    <mergeCell ref="B3:B4"/>
    <mergeCell ref="A25:G25"/>
    <mergeCell ref="L20:O20"/>
    <mergeCell ref="L21:O21"/>
    <mergeCell ref="L22:O22"/>
    <mergeCell ref="L23:O23"/>
  </mergeCells>
  <hyperlinks>
    <hyperlink ref="H2" location="СОДЕРЖАНИЕ!A1" display="назад к содержанию" xr:uid="{00000000-0004-0000-2000-000000000000}"/>
    <hyperlink ref="Q2" location="Спасибо!A3" display="Спасибо!" xr:uid="{45C4B3DD-5CEE-3C4F-8D71-69CD3FA5D749}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3FA2-9E59-FB4D-A11C-BCECC001AE49}">
  <dimension ref="A1:Y31"/>
  <sheetViews>
    <sheetView workbookViewId="0">
      <selection activeCell="D37" sqref="D37"/>
    </sheetView>
  </sheetViews>
  <sheetFormatPr defaultColWidth="8.5703125" defaultRowHeight="15.75" x14ac:dyDescent="0.25"/>
  <cols>
    <col min="1" max="1" width="3.5703125" style="340" bestFit="1" customWidth="1"/>
    <col min="2" max="2" width="46.85546875" style="316" customWidth="1"/>
    <col min="3" max="3" width="8" style="316" bestFit="1" customWidth="1"/>
    <col min="4" max="7" width="10.28515625" style="316" customWidth="1"/>
    <col min="8" max="8" width="12.7109375" style="15" customWidth="1"/>
    <col min="9" max="9" width="11.42578125" style="314" customWidth="1"/>
    <col min="10" max="10" width="8.5703125" customWidth="1"/>
    <col min="11" max="11" width="47.5703125" customWidth="1"/>
    <col min="12" max="15" width="8.7109375" style="315" hidden="1" customWidth="1"/>
    <col min="16" max="24" width="8.5703125" hidden="1" customWidth="1"/>
    <col min="25" max="25" width="8.5703125" bestFit="1" customWidth="1"/>
  </cols>
  <sheetData>
    <row r="1" spans="1:25" ht="16.5" thickBot="1" x14ac:dyDescent="0.3">
      <c r="B1" s="754" t="str">
        <f>'4.1 Фасадное освещение'!B1</f>
        <v>Актуально на 01 апреля 2022</v>
      </c>
    </row>
    <row r="2" spans="1:25" ht="30.75" thickBot="1" x14ac:dyDescent="0.4">
      <c r="A2" s="1321" t="s">
        <v>584</v>
      </c>
      <c r="B2" s="1082"/>
      <c r="C2" s="1082"/>
      <c r="D2" s="1082"/>
      <c r="E2" s="1082"/>
      <c r="F2" s="1082"/>
      <c r="G2" s="1322"/>
      <c r="H2" s="381" t="s">
        <v>302</v>
      </c>
      <c r="I2" s="18"/>
      <c r="Y2" s="579" t="s">
        <v>622</v>
      </c>
    </row>
    <row r="3" spans="1:25" ht="23.25" x14ac:dyDescent="0.35">
      <c r="A3" s="1318" t="s">
        <v>1</v>
      </c>
      <c r="B3" s="1315" t="s">
        <v>2</v>
      </c>
      <c r="C3" s="1312" t="s">
        <v>571</v>
      </c>
      <c r="D3" s="1171" t="s">
        <v>573</v>
      </c>
      <c r="E3" s="1171"/>
      <c r="F3" s="1171"/>
      <c r="G3" s="1171"/>
      <c r="H3" s="503"/>
      <c r="I3" s="18"/>
      <c r="U3" s="482">
        <f>инфляция!A2</f>
        <v>0.32590000000000002</v>
      </c>
      <c r="Y3" s="18"/>
    </row>
    <row r="4" spans="1:25" ht="30" customHeight="1" x14ac:dyDescent="0.25">
      <c r="A4" s="1319"/>
      <c r="B4" s="1316"/>
      <c r="C4" s="1313"/>
      <c r="D4" s="1228" t="s">
        <v>574</v>
      </c>
      <c r="E4" s="1228" t="s">
        <v>575</v>
      </c>
      <c r="F4" s="1228" t="s">
        <v>576</v>
      </c>
      <c r="G4" s="1228" t="s">
        <v>577</v>
      </c>
      <c r="U4" s="482">
        <f>U3</f>
        <v>0.32590000000000002</v>
      </c>
    </row>
    <row r="5" spans="1:25" x14ac:dyDescent="0.25">
      <c r="A5" s="1320"/>
      <c r="B5" s="1317"/>
      <c r="C5" s="1314"/>
      <c r="D5" s="1228"/>
      <c r="E5" s="1228"/>
      <c r="F5" s="1228"/>
      <c r="G5" s="1228"/>
      <c r="U5" s="482">
        <f t="shared" ref="U5:U22" si="0">U4</f>
        <v>0.32590000000000002</v>
      </c>
    </row>
    <row r="6" spans="1:25" ht="43.5" customHeight="1" x14ac:dyDescent="0.25">
      <c r="A6" s="1323" t="s">
        <v>585</v>
      </c>
      <c r="B6" s="1324"/>
      <c r="C6" s="1324"/>
      <c r="D6" s="1228"/>
      <c r="E6" s="1228"/>
      <c r="F6" s="1228"/>
      <c r="G6" s="1228"/>
      <c r="U6" s="482">
        <f>U5</f>
        <v>0.32590000000000002</v>
      </c>
    </row>
    <row r="7" spans="1:25" ht="31.5" customHeight="1" x14ac:dyDescent="0.25">
      <c r="A7" s="516">
        <v>1</v>
      </c>
      <c r="B7" s="517" t="s">
        <v>564</v>
      </c>
      <c r="C7" s="518" t="s">
        <v>570</v>
      </c>
      <c r="D7" s="547">
        <f>MROUND((Q7*(1+U7)),10)</f>
        <v>610</v>
      </c>
      <c r="E7" s="547">
        <f t="shared" ref="E7:G11" si="1">MROUND((R7*(1+V7)),10)</f>
        <v>670</v>
      </c>
      <c r="F7" s="547">
        <f t="shared" si="1"/>
        <v>800</v>
      </c>
      <c r="G7" s="547">
        <f t="shared" si="1"/>
        <v>880</v>
      </c>
      <c r="L7" s="460">
        <v>130</v>
      </c>
      <c r="M7" s="460">
        <v>160</v>
      </c>
      <c r="N7" s="460">
        <v>155</v>
      </c>
      <c r="O7" s="460">
        <v>160</v>
      </c>
      <c r="P7" s="482">
        <f>инфляция!A2</f>
        <v>0.32590000000000002</v>
      </c>
      <c r="Q7" s="519">
        <v>457</v>
      </c>
      <c r="R7" s="519">
        <v>505</v>
      </c>
      <c r="S7" s="519">
        <v>600</v>
      </c>
      <c r="T7" s="519">
        <v>667</v>
      </c>
      <c r="U7" s="482">
        <f t="shared" si="0"/>
        <v>0.32590000000000002</v>
      </c>
      <c r="V7" s="482">
        <f>U7</f>
        <v>0.32590000000000002</v>
      </c>
      <c r="W7" s="482">
        <f t="shared" ref="W7:X7" si="2">V7</f>
        <v>0.32590000000000002</v>
      </c>
      <c r="X7" s="482">
        <f t="shared" si="2"/>
        <v>0.32590000000000002</v>
      </c>
    </row>
    <row r="8" spans="1:25" ht="30" x14ac:dyDescent="0.25">
      <c r="A8" s="520">
        <v>2</v>
      </c>
      <c r="B8" s="521" t="s">
        <v>566</v>
      </c>
      <c r="C8" s="522" t="s">
        <v>35</v>
      </c>
      <c r="D8" s="523">
        <f t="shared" ref="D8:D11" si="3">MROUND((Q8*(1+U8)),10)</f>
        <v>800</v>
      </c>
      <c r="E8" s="523">
        <f t="shared" si="1"/>
        <v>880</v>
      </c>
      <c r="F8" s="523">
        <f t="shared" si="1"/>
        <v>1050</v>
      </c>
      <c r="G8" s="523">
        <f t="shared" si="1"/>
        <v>1160</v>
      </c>
      <c r="L8" s="460">
        <v>180</v>
      </c>
      <c r="M8" s="460">
        <v>225</v>
      </c>
      <c r="N8" s="460">
        <v>215</v>
      </c>
      <c r="O8" s="460">
        <v>225</v>
      </c>
      <c r="P8" s="482">
        <f>P7</f>
        <v>0.32590000000000002</v>
      </c>
      <c r="Q8" s="519">
        <v>600</v>
      </c>
      <c r="R8" s="519">
        <v>667</v>
      </c>
      <c r="S8" s="519">
        <v>791</v>
      </c>
      <c r="T8" s="519">
        <v>877</v>
      </c>
      <c r="U8" s="482">
        <f t="shared" si="0"/>
        <v>0.32590000000000002</v>
      </c>
      <c r="V8" s="482">
        <f>U8</f>
        <v>0.32590000000000002</v>
      </c>
      <c r="W8" s="482">
        <f t="shared" ref="W8:X8" si="4">V8</f>
        <v>0.32590000000000002</v>
      </c>
      <c r="X8" s="482">
        <f t="shared" si="4"/>
        <v>0.32590000000000002</v>
      </c>
    </row>
    <row r="9" spans="1:25" ht="30" x14ac:dyDescent="0.25">
      <c r="A9" s="524">
        <v>3</v>
      </c>
      <c r="B9" s="525" t="s">
        <v>565</v>
      </c>
      <c r="C9" s="526" t="s">
        <v>35</v>
      </c>
      <c r="D9" s="527">
        <f t="shared" si="3"/>
        <v>910</v>
      </c>
      <c r="E9" s="527">
        <f t="shared" si="1"/>
        <v>1010</v>
      </c>
      <c r="F9" s="527">
        <f t="shared" si="1"/>
        <v>1190</v>
      </c>
      <c r="G9" s="527">
        <f t="shared" si="1"/>
        <v>1330</v>
      </c>
      <c r="L9" s="460">
        <v>300</v>
      </c>
      <c r="M9" s="460">
        <v>375</v>
      </c>
      <c r="N9" s="460">
        <v>360</v>
      </c>
      <c r="O9" s="460">
        <v>375</v>
      </c>
      <c r="P9" s="482">
        <f t="shared" ref="P9:P22" si="5">P8</f>
        <v>0.32590000000000002</v>
      </c>
      <c r="Q9" s="519">
        <v>686</v>
      </c>
      <c r="R9" s="519">
        <v>762</v>
      </c>
      <c r="S9" s="519">
        <v>896</v>
      </c>
      <c r="T9" s="519">
        <v>1000</v>
      </c>
      <c r="U9" s="482">
        <f t="shared" si="0"/>
        <v>0.32590000000000002</v>
      </c>
      <c r="V9" s="482">
        <f>U9</f>
        <v>0.32590000000000002</v>
      </c>
      <c r="W9" s="482">
        <f t="shared" ref="W9:X9" si="6">V9</f>
        <v>0.32590000000000002</v>
      </c>
      <c r="X9" s="482">
        <f t="shared" si="6"/>
        <v>0.32590000000000002</v>
      </c>
    </row>
    <row r="10" spans="1:25" ht="30" x14ac:dyDescent="0.25">
      <c r="A10" s="528">
        <v>4</v>
      </c>
      <c r="B10" s="529" t="s">
        <v>567</v>
      </c>
      <c r="C10" s="530" t="s">
        <v>35</v>
      </c>
      <c r="D10" s="531">
        <f t="shared" si="3"/>
        <v>1090</v>
      </c>
      <c r="E10" s="531">
        <f t="shared" si="1"/>
        <v>1200</v>
      </c>
      <c r="F10" s="531">
        <f t="shared" si="1"/>
        <v>1410</v>
      </c>
      <c r="G10" s="531">
        <f t="shared" si="1"/>
        <v>1580</v>
      </c>
      <c r="L10" s="460">
        <v>300</v>
      </c>
      <c r="M10" s="460">
        <v>375</v>
      </c>
      <c r="N10" s="460">
        <v>360</v>
      </c>
      <c r="O10" s="460">
        <v>375</v>
      </c>
      <c r="P10" s="482">
        <f t="shared" si="5"/>
        <v>0.32590000000000002</v>
      </c>
      <c r="Q10" s="519">
        <v>819</v>
      </c>
      <c r="R10" s="519">
        <v>905</v>
      </c>
      <c r="S10" s="519">
        <v>1067</v>
      </c>
      <c r="T10" s="519">
        <v>1191</v>
      </c>
      <c r="U10" s="482">
        <f t="shared" si="0"/>
        <v>0.32590000000000002</v>
      </c>
      <c r="V10" s="482">
        <f>U10</f>
        <v>0.32590000000000002</v>
      </c>
      <c r="W10" s="482">
        <f t="shared" ref="W10:X10" si="7">V10</f>
        <v>0.32590000000000002</v>
      </c>
      <c r="X10" s="482">
        <f t="shared" si="7"/>
        <v>0.32590000000000002</v>
      </c>
    </row>
    <row r="11" spans="1:25" ht="45" x14ac:dyDescent="0.25">
      <c r="A11" s="532">
        <v>5</v>
      </c>
      <c r="B11" s="533" t="s">
        <v>568</v>
      </c>
      <c r="C11" s="534" t="s">
        <v>35</v>
      </c>
      <c r="D11" s="535">
        <f t="shared" si="3"/>
        <v>1140</v>
      </c>
      <c r="E11" s="535">
        <f t="shared" si="1"/>
        <v>1260</v>
      </c>
      <c r="F11" s="535">
        <f t="shared" si="1"/>
        <v>1520</v>
      </c>
      <c r="G11" s="535">
        <f t="shared" si="1"/>
        <v>1670</v>
      </c>
      <c r="L11" s="460">
        <v>750</v>
      </c>
      <c r="M11" s="460">
        <v>935</v>
      </c>
      <c r="N11" s="460">
        <v>900</v>
      </c>
      <c r="O11" s="460">
        <v>935</v>
      </c>
      <c r="P11" s="482">
        <f t="shared" si="5"/>
        <v>0.32590000000000002</v>
      </c>
      <c r="Q11" s="519">
        <v>857</v>
      </c>
      <c r="R11" s="519">
        <v>953</v>
      </c>
      <c r="S11" s="519">
        <v>1143</v>
      </c>
      <c r="T11" s="519">
        <v>1258</v>
      </c>
      <c r="U11" s="482">
        <f t="shared" si="0"/>
        <v>0.32590000000000002</v>
      </c>
      <c r="V11" s="482">
        <f>U11</f>
        <v>0.32590000000000002</v>
      </c>
      <c r="W11" s="482">
        <f t="shared" ref="W11:X11" si="8">V11</f>
        <v>0.32590000000000002</v>
      </c>
      <c r="X11" s="482">
        <f t="shared" si="8"/>
        <v>0.32590000000000002</v>
      </c>
    </row>
    <row r="12" spans="1:25" ht="60" x14ac:dyDescent="0.25">
      <c r="A12" s="513">
        <v>6</v>
      </c>
      <c r="B12" s="514" t="s">
        <v>569</v>
      </c>
      <c r="C12" s="515" t="s">
        <v>35</v>
      </c>
      <c r="D12" s="1291">
        <f>MROUND((Q12*(1+U12)),10)</f>
        <v>270</v>
      </c>
      <c r="E12" s="1292"/>
      <c r="F12" s="1292"/>
      <c r="G12" s="1293"/>
      <c r="L12" s="460">
        <v>700</v>
      </c>
      <c r="M12" s="460">
        <v>875</v>
      </c>
      <c r="N12" s="460">
        <v>840</v>
      </c>
      <c r="O12" s="460">
        <v>875</v>
      </c>
      <c r="P12" s="482">
        <f t="shared" si="5"/>
        <v>0.32590000000000002</v>
      </c>
      <c r="Q12" s="1291">
        <v>200</v>
      </c>
      <c r="R12" s="1292"/>
      <c r="S12" s="1292"/>
      <c r="T12" s="1293"/>
      <c r="U12" s="482">
        <f t="shared" si="0"/>
        <v>0.32590000000000002</v>
      </c>
    </row>
    <row r="13" spans="1:25" x14ac:dyDescent="0.25">
      <c r="A13" s="536">
        <v>7</v>
      </c>
      <c r="B13" s="537" t="s">
        <v>572</v>
      </c>
      <c r="C13" s="538" t="s">
        <v>193</v>
      </c>
      <c r="D13" s="1309">
        <f>'2.6 Ставки, коэффициенты'!D12</f>
        <v>3300</v>
      </c>
      <c r="E13" s="1310"/>
      <c r="F13" s="1310"/>
      <c r="G13" s="1311"/>
      <c r="L13" s="460">
        <v>170</v>
      </c>
      <c r="M13" s="460">
        <v>210</v>
      </c>
      <c r="N13" s="460">
        <v>205</v>
      </c>
      <c r="O13" s="460">
        <v>210</v>
      </c>
      <c r="P13" s="482" t="e">
        <f>#REF!</f>
        <v>#REF!</v>
      </c>
      <c r="Q13" s="482"/>
      <c r="R13" s="482"/>
      <c r="S13" s="482"/>
      <c r="U13" s="482">
        <f t="shared" si="0"/>
        <v>0.32590000000000002</v>
      </c>
    </row>
    <row r="14" spans="1:25" ht="36.75" customHeight="1" x14ac:dyDescent="0.25">
      <c r="A14" s="1294" t="s">
        <v>582</v>
      </c>
      <c r="B14" s="1295"/>
      <c r="C14" s="1295"/>
      <c r="D14" s="1295"/>
      <c r="E14" s="1295"/>
      <c r="F14" s="1295"/>
      <c r="G14" s="1296"/>
      <c r="L14" s="460"/>
      <c r="M14" s="460"/>
      <c r="N14" s="460"/>
      <c r="O14" s="460"/>
      <c r="P14" s="482"/>
      <c r="Q14" s="482"/>
      <c r="R14" s="482"/>
      <c r="S14" s="482"/>
      <c r="U14" s="482">
        <f t="shared" si="0"/>
        <v>0.32590000000000002</v>
      </c>
    </row>
    <row r="15" spans="1:25" ht="30" x14ac:dyDescent="0.25">
      <c r="A15" s="539">
        <v>8</v>
      </c>
      <c r="B15" s="540" t="s">
        <v>579</v>
      </c>
      <c r="C15" s="541" t="s">
        <v>35</v>
      </c>
      <c r="D15" s="1297">
        <f>'3.2 Кондиционеры'!D12</f>
        <v>660</v>
      </c>
      <c r="E15" s="1298"/>
      <c r="F15" s="1298"/>
      <c r="G15" s="1299"/>
      <c r="L15" s="460">
        <v>235</v>
      </c>
      <c r="M15" s="460">
        <v>295</v>
      </c>
      <c r="N15" s="460">
        <v>280</v>
      </c>
      <c r="O15" s="460">
        <v>295</v>
      </c>
      <c r="P15" s="482" t="e">
        <f>P13</f>
        <v>#REF!</v>
      </c>
      <c r="Q15" s="482"/>
      <c r="R15" s="482"/>
      <c r="S15" s="482"/>
      <c r="U15" s="482">
        <f t="shared" si="0"/>
        <v>0.32590000000000002</v>
      </c>
    </row>
    <row r="16" spans="1:25" ht="30" x14ac:dyDescent="0.25">
      <c r="A16" s="539">
        <v>9</v>
      </c>
      <c r="B16" s="540" t="s">
        <v>578</v>
      </c>
      <c r="C16" s="541" t="s">
        <v>35</v>
      </c>
      <c r="D16" s="1297">
        <f>'3.2 Кондиционеры'!D13</f>
        <v>800</v>
      </c>
      <c r="E16" s="1298"/>
      <c r="F16" s="1298"/>
      <c r="G16" s="1299"/>
      <c r="L16" s="460">
        <v>390</v>
      </c>
      <c r="M16" s="460">
        <v>485</v>
      </c>
      <c r="N16" s="460">
        <v>470</v>
      </c>
      <c r="O16" s="460">
        <v>485</v>
      </c>
      <c r="P16" s="482" t="e">
        <f t="shared" si="5"/>
        <v>#REF!</v>
      </c>
      <c r="Q16" s="482"/>
      <c r="R16" s="482"/>
      <c r="S16" s="482"/>
      <c r="U16" s="482">
        <f t="shared" si="0"/>
        <v>0.32590000000000002</v>
      </c>
    </row>
    <row r="17" spans="1:21" ht="30" x14ac:dyDescent="0.25">
      <c r="A17" s="539">
        <v>10</v>
      </c>
      <c r="B17" s="540" t="s">
        <v>116</v>
      </c>
      <c r="C17" s="541" t="s">
        <v>35</v>
      </c>
      <c r="D17" s="1297">
        <f>'3.2 Кондиционеры'!D14</f>
        <v>600</v>
      </c>
      <c r="E17" s="1298"/>
      <c r="F17" s="1298"/>
      <c r="G17" s="1299"/>
      <c r="L17" s="460">
        <v>390</v>
      </c>
      <c r="M17" s="460">
        <v>485</v>
      </c>
      <c r="N17" s="460">
        <v>470</v>
      </c>
      <c r="O17" s="460">
        <v>485</v>
      </c>
      <c r="P17" s="482" t="e">
        <f t="shared" si="5"/>
        <v>#REF!</v>
      </c>
      <c r="Q17" s="482"/>
      <c r="R17" s="482"/>
      <c r="S17" s="482"/>
      <c r="U17" s="482">
        <f t="shared" si="0"/>
        <v>0.32590000000000002</v>
      </c>
    </row>
    <row r="18" spans="1:21" ht="30" x14ac:dyDescent="0.25">
      <c r="A18" s="542">
        <v>11</v>
      </c>
      <c r="B18" s="247" t="s">
        <v>122</v>
      </c>
      <c r="C18" s="543" t="s">
        <v>35</v>
      </c>
      <c r="D18" s="1300">
        <f>'3.2 Кондиционеры'!D15</f>
        <v>490</v>
      </c>
      <c r="E18" s="1301"/>
      <c r="F18" s="1301"/>
      <c r="G18" s="1302"/>
      <c r="L18" s="460">
        <v>975</v>
      </c>
      <c r="M18" s="460">
        <v>1200</v>
      </c>
      <c r="N18" s="460">
        <v>1170</v>
      </c>
      <c r="O18" s="460">
        <v>1200</v>
      </c>
      <c r="P18" s="482" t="e">
        <f t="shared" si="5"/>
        <v>#REF!</v>
      </c>
      <c r="Q18" s="482"/>
      <c r="R18" s="482"/>
      <c r="S18" s="482"/>
      <c r="U18" s="482">
        <f t="shared" si="0"/>
        <v>0.32590000000000002</v>
      </c>
    </row>
    <row r="19" spans="1:21" x14ac:dyDescent="0.25">
      <c r="A19" s="542">
        <v>12</v>
      </c>
      <c r="B19" s="247" t="s">
        <v>581</v>
      </c>
      <c r="C19" s="543" t="s">
        <v>433</v>
      </c>
      <c r="D19" s="1300">
        <f>'3.2 Кондиционеры'!D16</f>
        <v>990</v>
      </c>
      <c r="E19" s="1301"/>
      <c r="F19" s="1301"/>
      <c r="G19" s="1302"/>
      <c r="L19" s="460">
        <v>910</v>
      </c>
      <c r="M19" s="460">
        <v>1140</v>
      </c>
      <c r="N19" s="460">
        <v>1090</v>
      </c>
      <c r="O19" s="460">
        <v>1140</v>
      </c>
      <c r="P19" s="482" t="e">
        <f t="shared" si="5"/>
        <v>#REF!</v>
      </c>
      <c r="Q19" s="482"/>
      <c r="R19" s="482"/>
      <c r="S19" s="482"/>
      <c r="U19" s="482">
        <f t="shared" si="0"/>
        <v>0.32590000000000002</v>
      </c>
    </row>
    <row r="20" spans="1:21" x14ac:dyDescent="0.25">
      <c r="A20" s="542">
        <v>13</v>
      </c>
      <c r="B20" s="247" t="s">
        <v>580</v>
      </c>
      <c r="C20" s="543" t="s">
        <v>433</v>
      </c>
      <c r="D20" s="1300">
        <f>'3.2 Кондиционеры'!D17</f>
        <v>560</v>
      </c>
      <c r="E20" s="1301"/>
      <c r="F20" s="1301"/>
      <c r="G20" s="1302"/>
      <c r="L20" s="1281">
        <v>450</v>
      </c>
      <c r="M20" s="1282"/>
      <c r="N20" s="1282"/>
      <c r="O20" s="1283"/>
      <c r="P20" s="482" t="e">
        <f>#REF!</f>
        <v>#REF!</v>
      </c>
      <c r="Q20" s="482"/>
      <c r="R20" s="482"/>
      <c r="S20" s="482"/>
      <c r="U20" s="482">
        <f t="shared" si="0"/>
        <v>0.32590000000000002</v>
      </c>
    </row>
    <row r="21" spans="1:21" ht="30" x14ac:dyDescent="0.25">
      <c r="A21" s="417">
        <v>14</v>
      </c>
      <c r="B21" s="544" t="s">
        <v>313</v>
      </c>
      <c r="C21" s="545" t="s">
        <v>35</v>
      </c>
      <c r="D21" s="1303">
        <f>'3.2 Кондиционеры'!D18</f>
        <v>530</v>
      </c>
      <c r="E21" s="1304"/>
      <c r="F21" s="1304"/>
      <c r="G21" s="1305"/>
      <c r="L21" s="1281">
        <v>850</v>
      </c>
      <c r="M21" s="1282"/>
      <c r="N21" s="1282"/>
      <c r="O21" s="1283"/>
      <c r="P21" s="482" t="e">
        <f t="shared" si="5"/>
        <v>#REF!</v>
      </c>
      <c r="Q21" s="482"/>
      <c r="R21" s="482"/>
      <c r="S21" s="482"/>
      <c r="U21" s="482">
        <f t="shared" si="0"/>
        <v>0.32590000000000002</v>
      </c>
    </row>
    <row r="22" spans="1:21" ht="27.75" customHeight="1" x14ac:dyDescent="0.25">
      <c r="A22" s="546">
        <v>15</v>
      </c>
      <c r="B22" s="1307" t="s">
        <v>774</v>
      </c>
      <c r="C22" s="1308"/>
      <c r="D22" s="1306" t="s">
        <v>583</v>
      </c>
      <c r="E22" s="1306"/>
      <c r="F22" s="1306"/>
      <c r="G22" s="1306"/>
      <c r="L22" s="1281">
        <v>450</v>
      </c>
      <c r="M22" s="1282"/>
      <c r="N22" s="1282"/>
      <c r="O22" s="1283"/>
      <c r="P22" s="482" t="e">
        <f t="shared" si="5"/>
        <v>#REF!</v>
      </c>
      <c r="Q22" s="482"/>
      <c r="R22" s="482"/>
      <c r="S22" s="482"/>
      <c r="U22" s="482">
        <f t="shared" si="0"/>
        <v>0.32590000000000002</v>
      </c>
    </row>
    <row r="23" spans="1:21" ht="16.5" thickBot="1" x14ac:dyDescent="0.3">
      <c r="B23" s="455"/>
    </row>
    <row r="24" spans="1:21" ht="41.25" customHeight="1" x14ac:dyDescent="0.25">
      <c r="A24" s="1328" t="s">
        <v>588</v>
      </c>
      <c r="B24" s="1329"/>
      <c r="C24" s="1329"/>
      <c r="D24" s="1329"/>
      <c r="E24" s="1329"/>
      <c r="F24" s="1329"/>
      <c r="G24" s="1330"/>
    </row>
    <row r="25" spans="1:21" ht="26.25" customHeight="1" x14ac:dyDescent="0.25">
      <c r="A25" s="1331" t="s">
        <v>589</v>
      </c>
      <c r="B25" s="1331"/>
      <c r="C25" s="1331"/>
      <c r="D25" s="1331"/>
      <c r="E25" s="1331"/>
      <c r="F25" s="1331"/>
      <c r="G25" s="1331"/>
    </row>
    <row r="26" spans="1:21" ht="24.75" customHeight="1" x14ac:dyDescent="0.25">
      <c r="A26" s="1331" t="s">
        <v>590</v>
      </c>
      <c r="B26" s="1331"/>
      <c r="C26" s="1331"/>
      <c r="D26" s="1331"/>
      <c r="E26" s="1331"/>
      <c r="F26" s="1331"/>
      <c r="G26" s="1331"/>
    </row>
    <row r="27" spans="1:21" ht="32.25" customHeight="1" x14ac:dyDescent="0.25">
      <c r="A27" s="1331" t="s">
        <v>586</v>
      </c>
      <c r="B27" s="1331"/>
      <c r="C27" s="1331"/>
      <c r="D27" s="1331"/>
      <c r="E27" s="1331"/>
      <c r="F27" s="1331"/>
      <c r="G27" s="1331"/>
    </row>
    <row r="28" spans="1:21" ht="24.75" customHeight="1" x14ac:dyDescent="0.25">
      <c r="A28" s="1331" t="s">
        <v>623</v>
      </c>
      <c r="B28" s="1331"/>
      <c r="C28" s="1331"/>
      <c r="D28" s="1331"/>
      <c r="E28" s="1331"/>
      <c r="F28" s="1331"/>
      <c r="G28" s="1331"/>
    </row>
    <row r="29" spans="1:21" ht="30" customHeight="1" x14ac:dyDescent="0.25">
      <c r="A29" s="1325" t="s">
        <v>591</v>
      </c>
      <c r="B29" s="1326"/>
      <c r="C29" s="1326"/>
      <c r="D29" s="1326"/>
      <c r="E29" s="1326"/>
      <c r="F29" s="1326"/>
      <c r="G29" s="1327"/>
    </row>
    <row r="31" spans="1:21" ht="22.5" customHeight="1" x14ac:dyDescent="0.25">
      <c r="A31" s="858" t="s">
        <v>668</v>
      </c>
      <c r="B31" s="858"/>
      <c r="C31" s="858"/>
      <c r="D31" s="858"/>
      <c r="E31" s="858"/>
      <c r="F31" s="858"/>
      <c r="G31" s="858"/>
    </row>
  </sheetData>
  <mergeCells count="33">
    <mergeCell ref="A29:G29"/>
    <mergeCell ref="A24:G24"/>
    <mergeCell ref="A25:G25"/>
    <mergeCell ref="A26:G26"/>
    <mergeCell ref="A27:G27"/>
    <mergeCell ref="A28:G28"/>
    <mergeCell ref="D13:G13"/>
    <mergeCell ref="C3:C5"/>
    <mergeCell ref="B3:B5"/>
    <mergeCell ref="A3:A5"/>
    <mergeCell ref="A2:G2"/>
    <mergeCell ref="A6:C6"/>
    <mergeCell ref="D4:D6"/>
    <mergeCell ref="E4:E6"/>
    <mergeCell ref="F4:F6"/>
    <mergeCell ref="G4:G6"/>
    <mergeCell ref="D3:G3"/>
    <mergeCell ref="A31:G31"/>
    <mergeCell ref="Q12:T12"/>
    <mergeCell ref="L22:O22"/>
    <mergeCell ref="L20:O20"/>
    <mergeCell ref="L21:O21"/>
    <mergeCell ref="A14:G14"/>
    <mergeCell ref="D15:G15"/>
    <mergeCell ref="D16:G16"/>
    <mergeCell ref="D17:G17"/>
    <mergeCell ref="D18:G18"/>
    <mergeCell ref="D19:G19"/>
    <mergeCell ref="D20:G20"/>
    <mergeCell ref="D21:G21"/>
    <mergeCell ref="D22:G22"/>
    <mergeCell ref="B22:C22"/>
    <mergeCell ref="D12:G12"/>
  </mergeCells>
  <hyperlinks>
    <hyperlink ref="H2" location="СОДЕРЖАНИЕ!A1" display="назад к содержанию" xr:uid="{86D313F1-5052-694F-98B7-36F210A0566F}"/>
    <hyperlink ref="Y2" location="Спасибо!A3" display="Спасибо!" xr:uid="{75680462-03FE-3D46-8A21-B4C59E0E0B6F}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298F-1E2C-384A-A313-2B13DD4F6401}">
  <dimension ref="A1:AF47"/>
  <sheetViews>
    <sheetView workbookViewId="0">
      <selection activeCell="C51" sqref="C51"/>
    </sheetView>
  </sheetViews>
  <sheetFormatPr defaultColWidth="8.5703125" defaultRowHeight="15" x14ac:dyDescent="0.25"/>
  <cols>
    <col min="1" max="1" width="3.7109375" customWidth="1"/>
    <col min="2" max="2" width="7.140625" style="340" bestFit="1" customWidth="1"/>
    <col min="3" max="3" width="65.85546875" style="316" customWidth="1"/>
    <col min="4" max="4" width="5.140625" style="316" customWidth="1"/>
    <col min="5" max="5" width="2.42578125" style="316" customWidth="1"/>
    <col min="6" max="7" width="1.85546875" style="316" customWidth="1"/>
    <col min="8" max="8" width="5.7109375" style="316" bestFit="1" customWidth="1"/>
    <col min="9" max="10" width="5.7109375" bestFit="1" customWidth="1"/>
    <col min="11" max="11" width="2.140625" customWidth="1"/>
    <col min="12" max="12" width="5.7109375" hidden="1" customWidth="1"/>
    <col min="13" max="13" width="3.42578125" customWidth="1"/>
    <col min="15" max="16" width="5.7109375" hidden="1" customWidth="1"/>
    <col min="17" max="17" width="7.140625" hidden="1" customWidth="1"/>
    <col min="18" max="22" width="5.7109375" hidden="1" customWidth="1"/>
    <col min="23" max="31" width="8.5703125" hidden="1" customWidth="1"/>
  </cols>
  <sheetData>
    <row r="1" spans="1:32" ht="15.75" thickBot="1" x14ac:dyDescent="0.3">
      <c r="C1" s="754" t="str">
        <f>'4.2 Корзины под сплиты'!B1</f>
        <v>Актуально на 01 апреля 2022</v>
      </c>
      <c r="D1" s="1332"/>
      <c r="E1" s="1333"/>
      <c r="F1" s="1333"/>
      <c r="G1" s="1333"/>
      <c r="H1" s="1333"/>
      <c r="I1" s="1333"/>
      <c r="J1" s="1333"/>
      <c r="K1" s="1333"/>
      <c r="L1" s="1333"/>
      <c r="M1" s="1333"/>
    </row>
    <row r="2" spans="1:32" ht="45.75" thickBot="1" x14ac:dyDescent="0.3">
      <c r="A2" s="893" t="s">
        <v>602</v>
      </c>
      <c r="B2" s="895"/>
      <c r="C2" s="894"/>
      <c r="D2" s="895"/>
      <c r="E2" s="895"/>
      <c r="F2" s="895"/>
      <c r="G2" s="895"/>
      <c r="H2" s="895"/>
      <c r="I2" s="895"/>
      <c r="J2" s="895"/>
      <c r="K2" s="895"/>
      <c r="L2" s="895"/>
      <c r="M2" s="1343"/>
      <c r="N2" s="564" t="s">
        <v>302</v>
      </c>
      <c r="O2" s="18"/>
      <c r="Q2" s="315"/>
      <c r="R2" s="315"/>
      <c r="S2" s="315"/>
      <c r="T2" s="315"/>
      <c r="AF2" s="579" t="s">
        <v>622</v>
      </c>
    </row>
    <row r="3" spans="1:32" ht="23.25" x14ac:dyDescent="0.25">
      <c r="A3" s="768"/>
      <c r="B3" s="768" t="s">
        <v>1</v>
      </c>
      <c r="C3" s="769" t="s">
        <v>337</v>
      </c>
      <c r="D3" s="1361" t="s">
        <v>3</v>
      </c>
      <c r="E3" s="1362"/>
      <c r="F3" s="1361" t="s">
        <v>4</v>
      </c>
      <c r="G3" s="1366"/>
      <c r="H3" s="1366"/>
      <c r="I3" s="1366"/>
      <c r="J3" s="1366"/>
      <c r="K3" s="1366"/>
      <c r="L3" s="1366"/>
      <c r="M3" s="1362"/>
      <c r="N3" s="503"/>
      <c r="O3" s="18"/>
      <c r="Q3" s="315"/>
      <c r="R3" s="315"/>
      <c r="S3" s="315"/>
      <c r="T3" s="315"/>
      <c r="AF3" s="771"/>
    </row>
    <row r="4" spans="1:32" ht="31.5" x14ac:dyDescent="0.25">
      <c r="A4" s="770"/>
      <c r="B4" s="766">
        <v>1</v>
      </c>
      <c r="C4" s="767" t="s">
        <v>835</v>
      </c>
      <c r="D4" s="1359" t="s">
        <v>433</v>
      </c>
      <c r="E4" s="1360"/>
      <c r="F4" s="1363">
        <f>MROUND((P4+P4*Q4),1)</f>
        <v>58</v>
      </c>
      <c r="G4" s="1364"/>
      <c r="H4" s="1364"/>
      <c r="I4" s="1364"/>
      <c r="J4" s="1364"/>
      <c r="K4" s="1364"/>
      <c r="L4" s="1364"/>
      <c r="M4" s="1365"/>
      <c r="N4" s="503"/>
      <c r="O4" s="18"/>
      <c r="P4">
        <v>44</v>
      </c>
      <c r="Q4" s="482">
        <f>инфляция!A2</f>
        <v>0.32590000000000002</v>
      </c>
      <c r="R4" s="315"/>
      <c r="S4" s="315"/>
      <c r="T4" s="315"/>
      <c r="AF4" s="771"/>
    </row>
    <row r="5" spans="1:32" ht="43.5" customHeight="1" x14ac:dyDescent="0.25">
      <c r="A5" s="1367" t="s">
        <v>829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1367"/>
      <c r="M5" s="1367"/>
      <c r="N5" s="503"/>
      <c r="O5" s="18"/>
      <c r="Q5" s="315"/>
      <c r="R5" s="315"/>
      <c r="S5" s="315"/>
      <c r="T5" s="315"/>
      <c r="AF5" s="771"/>
    </row>
    <row r="6" spans="1:32" ht="23.25" x14ac:dyDescent="0.25">
      <c r="A6" s="770"/>
      <c r="B6" s="766">
        <v>2</v>
      </c>
      <c r="C6" s="765" t="s">
        <v>819</v>
      </c>
      <c r="D6" s="1353">
        <f>MROUND((F4*0.3),1)</f>
        <v>17</v>
      </c>
      <c r="E6" s="1354"/>
      <c r="F6" s="1354"/>
      <c r="G6" s="1354"/>
      <c r="H6" s="1354"/>
      <c r="I6" s="1354"/>
      <c r="J6" s="1354"/>
      <c r="K6" s="1354"/>
      <c r="L6" s="1354"/>
      <c r="M6" s="1355"/>
      <c r="N6" s="503"/>
      <c r="O6" s="18"/>
      <c r="Q6" s="315"/>
      <c r="R6" s="315"/>
      <c r="S6" s="315"/>
      <c r="T6" s="315"/>
      <c r="AF6" s="771"/>
    </row>
    <row r="7" spans="1:32" ht="23.25" x14ac:dyDescent="0.25">
      <c r="A7" s="770"/>
      <c r="B7" s="766">
        <v>3</v>
      </c>
      <c r="C7" s="765" t="s">
        <v>820</v>
      </c>
      <c r="D7" s="1353">
        <f>MROUND((F4*0.26),1)</f>
        <v>15</v>
      </c>
      <c r="E7" s="1354"/>
      <c r="F7" s="1354"/>
      <c r="G7" s="1354"/>
      <c r="H7" s="1354"/>
      <c r="I7" s="1354"/>
      <c r="J7" s="1354"/>
      <c r="K7" s="1354"/>
      <c r="L7" s="1354"/>
      <c r="M7" s="1355"/>
      <c r="N7" s="503"/>
      <c r="O7" s="18"/>
      <c r="Q7" s="315"/>
      <c r="R7" s="315"/>
      <c r="S7" s="315"/>
      <c r="T7" s="315"/>
      <c r="AF7" s="771"/>
    </row>
    <row r="8" spans="1:32" ht="23.25" x14ac:dyDescent="0.25">
      <c r="A8" s="770"/>
      <c r="B8" s="766">
        <v>4</v>
      </c>
      <c r="C8" s="765" t="s">
        <v>821</v>
      </c>
      <c r="D8" s="1353">
        <f>MROUND((F4*0.2),1)</f>
        <v>12</v>
      </c>
      <c r="E8" s="1354"/>
      <c r="F8" s="1354"/>
      <c r="G8" s="1354"/>
      <c r="H8" s="1354"/>
      <c r="I8" s="1354"/>
      <c r="J8" s="1354"/>
      <c r="K8" s="1354"/>
      <c r="L8" s="1354"/>
      <c r="M8" s="1355"/>
      <c r="N8" s="503"/>
      <c r="O8" s="18"/>
      <c r="Q8" s="315"/>
      <c r="R8" s="315"/>
      <c r="S8" s="315"/>
      <c r="T8" s="315"/>
      <c r="AF8" s="771"/>
    </row>
    <row r="9" spans="1:32" ht="23.25" x14ac:dyDescent="0.25">
      <c r="A9" s="770"/>
      <c r="B9" s="766">
        <v>5</v>
      </c>
      <c r="C9" s="765" t="s">
        <v>822</v>
      </c>
      <c r="D9" s="1353">
        <f>MROUND((F4*0.14),1)</f>
        <v>8</v>
      </c>
      <c r="E9" s="1354"/>
      <c r="F9" s="1354"/>
      <c r="G9" s="1354"/>
      <c r="H9" s="1354"/>
      <c r="I9" s="1354"/>
      <c r="J9" s="1354"/>
      <c r="K9" s="1354"/>
      <c r="L9" s="1354"/>
      <c r="M9" s="1355"/>
      <c r="N9" s="503"/>
      <c r="O9" s="18"/>
      <c r="Q9" s="315"/>
      <c r="R9" s="315"/>
      <c r="S9" s="315"/>
      <c r="T9" s="315"/>
      <c r="AF9" s="771"/>
    </row>
    <row r="10" spans="1:32" ht="23.25" x14ac:dyDescent="0.25">
      <c r="A10" s="770"/>
      <c r="B10" s="766">
        <v>6</v>
      </c>
      <c r="C10" s="765" t="s">
        <v>823</v>
      </c>
      <c r="D10" s="1353">
        <f>MROUND((F4*0.14),1)</f>
        <v>8</v>
      </c>
      <c r="E10" s="1354"/>
      <c r="F10" s="1354"/>
      <c r="G10" s="1354"/>
      <c r="H10" s="1354"/>
      <c r="I10" s="1354"/>
      <c r="J10" s="1354"/>
      <c r="K10" s="1354"/>
      <c r="L10" s="1354"/>
      <c r="M10" s="1355"/>
      <c r="N10" s="503"/>
      <c r="O10" s="18"/>
      <c r="Q10" s="315"/>
      <c r="R10" s="315"/>
      <c r="S10" s="315"/>
      <c r="T10" s="315"/>
      <c r="AF10" s="771"/>
    </row>
    <row r="11" spans="1:32" ht="23.25" x14ac:dyDescent="0.25">
      <c r="A11" s="770"/>
      <c r="B11" s="766">
        <v>7</v>
      </c>
      <c r="C11" s="765" t="s">
        <v>824</v>
      </c>
      <c r="D11" s="1353">
        <f>MROUND((F4*0.1),1)</f>
        <v>6</v>
      </c>
      <c r="E11" s="1354"/>
      <c r="F11" s="1354"/>
      <c r="G11" s="1354"/>
      <c r="H11" s="1354"/>
      <c r="I11" s="1354"/>
      <c r="J11" s="1354"/>
      <c r="K11" s="1354"/>
      <c r="L11" s="1354"/>
      <c r="M11" s="1355"/>
      <c r="N11" s="503"/>
      <c r="O11" s="18"/>
      <c r="Q11" s="315"/>
      <c r="R11" s="315"/>
      <c r="S11" s="315"/>
      <c r="T11" s="315"/>
      <c r="AF11" s="771"/>
    </row>
    <row r="12" spans="1:32" ht="23.25" x14ac:dyDescent="0.25">
      <c r="A12" s="770"/>
      <c r="B12" s="766">
        <v>8</v>
      </c>
      <c r="C12" s="765" t="s">
        <v>825</v>
      </c>
      <c r="D12" s="1353">
        <f t="shared" ref="D12" si="0">MROUND((F10*0.3),1)</f>
        <v>0</v>
      </c>
      <c r="E12" s="1354"/>
      <c r="F12" s="1354"/>
      <c r="G12" s="1354"/>
      <c r="H12" s="1354"/>
      <c r="I12" s="1354"/>
      <c r="J12" s="1354"/>
      <c r="K12" s="1354"/>
      <c r="L12" s="1354"/>
      <c r="M12" s="1355"/>
      <c r="N12" s="503"/>
      <c r="O12" s="18"/>
      <c r="Q12" s="315"/>
      <c r="R12" s="315"/>
      <c r="S12" s="315"/>
      <c r="T12" s="315"/>
      <c r="AF12" s="771"/>
    </row>
    <row r="13" spans="1:32" ht="27" customHeight="1" x14ac:dyDescent="0.25">
      <c r="A13" s="1356" t="s">
        <v>830</v>
      </c>
      <c r="B13" s="1357"/>
      <c r="C13" s="1357"/>
      <c r="D13" s="1357"/>
      <c r="E13" s="1357"/>
      <c r="F13" s="1357"/>
      <c r="G13" s="1357"/>
      <c r="H13" s="1357"/>
      <c r="I13" s="1357"/>
      <c r="J13" s="1357"/>
      <c r="K13" s="1357"/>
      <c r="L13" s="1357"/>
      <c r="M13" s="1358"/>
      <c r="N13" s="503"/>
      <c r="O13" s="18"/>
      <c r="Q13" s="315"/>
      <c r="R13" s="315"/>
      <c r="S13" s="315"/>
      <c r="T13" s="315"/>
      <c r="AF13" s="771"/>
    </row>
    <row r="14" spans="1:32" ht="23.25" x14ac:dyDescent="0.25">
      <c r="A14" s="770"/>
      <c r="B14" s="766">
        <v>9</v>
      </c>
      <c r="C14" s="765" t="s">
        <v>826</v>
      </c>
      <c r="D14" s="1353">
        <f>MROUND((F4*0.1),1)</f>
        <v>6</v>
      </c>
      <c r="E14" s="1354"/>
      <c r="F14" s="1354"/>
      <c r="G14" s="1354"/>
      <c r="H14" s="1354"/>
      <c r="I14" s="1354"/>
      <c r="J14" s="1354"/>
      <c r="K14" s="1354"/>
      <c r="L14" s="1354"/>
      <c r="M14" s="1355"/>
      <c r="N14" s="503"/>
      <c r="O14" s="18"/>
      <c r="Q14" s="315"/>
      <c r="R14" s="315"/>
      <c r="S14" s="315"/>
      <c r="T14" s="315"/>
      <c r="AF14" s="771"/>
    </row>
    <row r="15" spans="1:32" ht="23.25" x14ac:dyDescent="0.25">
      <c r="A15" s="770"/>
      <c r="B15" s="766">
        <v>10</v>
      </c>
      <c r="C15" s="765" t="s">
        <v>827</v>
      </c>
      <c r="D15" s="1353">
        <f>MROUND((F4*0.2),1)</f>
        <v>12</v>
      </c>
      <c r="E15" s="1354"/>
      <c r="F15" s="1354"/>
      <c r="G15" s="1354"/>
      <c r="H15" s="1354"/>
      <c r="I15" s="1354"/>
      <c r="J15" s="1354"/>
      <c r="K15" s="1354"/>
      <c r="L15" s="1354"/>
      <c r="M15" s="1355"/>
      <c r="N15" s="503"/>
      <c r="O15" s="18"/>
      <c r="Q15" s="315"/>
      <c r="R15" s="315"/>
      <c r="S15" s="315"/>
      <c r="T15" s="315"/>
      <c r="AF15" s="771"/>
    </row>
    <row r="16" spans="1:32" ht="23.25" x14ac:dyDescent="0.25">
      <c r="A16" s="770"/>
      <c r="B16" s="766">
        <v>11</v>
      </c>
      <c r="C16" s="765" t="s">
        <v>828</v>
      </c>
      <c r="D16" s="1353">
        <f>MROUND((F4*0.4),1)</f>
        <v>23</v>
      </c>
      <c r="E16" s="1354"/>
      <c r="F16" s="1354"/>
      <c r="G16" s="1354"/>
      <c r="H16" s="1354"/>
      <c r="I16" s="1354"/>
      <c r="J16" s="1354"/>
      <c r="K16" s="1354"/>
      <c r="L16" s="1354"/>
      <c r="M16" s="1355"/>
      <c r="N16" s="503"/>
      <c r="O16" s="18"/>
      <c r="Q16" s="315"/>
      <c r="R16" s="315"/>
      <c r="S16" s="315"/>
      <c r="T16" s="315"/>
      <c r="AF16" s="771"/>
    </row>
    <row r="17" spans="1:32" ht="31.5" x14ac:dyDescent="0.25">
      <c r="A17" s="770"/>
      <c r="B17" s="766">
        <v>12</v>
      </c>
      <c r="C17" s="765" t="s">
        <v>831</v>
      </c>
      <c r="D17" s="1353">
        <f>MROUND((F4*0.1),1)</f>
        <v>6</v>
      </c>
      <c r="E17" s="1354"/>
      <c r="F17" s="1354"/>
      <c r="G17" s="1354"/>
      <c r="H17" s="1354"/>
      <c r="I17" s="1354"/>
      <c r="J17" s="1354"/>
      <c r="K17" s="1354"/>
      <c r="L17" s="1354"/>
      <c r="M17" s="1355"/>
      <c r="N17" s="503"/>
      <c r="O17" s="18"/>
      <c r="Q17" s="315"/>
      <c r="R17" s="315"/>
      <c r="S17" s="315"/>
      <c r="T17" s="315"/>
      <c r="AF17" s="771"/>
    </row>
    <row r="18" spans="1:32" ht="31.5" x14ac:dyDescent="0.25">
      <c r="A18" s="770"/>
      <c r="B18" s="766">
        <v>13</v>
      </c>
      <c r="C18" s="765" t="s">
        <v>832</v>
      </c>
      <c r="D18" s="1353">
        <f>MROUND((F4*0.05),1)</f>
        <v>3</v>
      </c>
      <c r="E18" s="1354"/>
      <c r="F18" s="1354"/>
      <c r="G18" s="1354"/>
      <c r="H18" s="1354"/>
      <c r="I18" s="1354"/>
      <c r="J18" s="1354"/>
      <c r="K18" s="1354"/>
      <c r="L18" s="1354"/>
      <c r="M18" s="1355"/>
      <c r="N18" s="503"/>
      <c r="O18" s="18"/>
      <c r="Q18" s="315"/>
      <c r="R18" s="315"/>
      <c r="S18" s="315"/>
      <c r="T18" s="315"/>
      <c r="AF18" s="771"/>
    </row>
    <row r="19" spans="1:32" ht="31.5" x14ac:dyDescent="0.25">
      <c r="A19" s="770"/>
      <c r="B19" s="766">
        <v>14</v>
      </c>
      <c r="C19" s="765" t="s">
        <v>833</v>
      </c>
      <c r="D19" s="1353">
        <f>MROUND((F4*0.1),1)</f>
        <v>6</v>
      </c>
      <c r="E19" s="1354"/>
      <c r="F19" s="1354"/>
      <c r="G19" s="1354"/>
      <c r="H19" s="1354"/>
      <c r="I19" s="1354"/>
      <c r="J19" s="1354"/>
      <c r="K19" s="1354"/>
      <c r="L19" s="1354"/>
      <c r="M19" s="1355"/>
      <c r="N19" s="503"/>
      <c r="O19" s="18"/>
      <c r="Q19" s="315"/>
      <c r="R19" s="315"/>
      <c r="S19" s="315"/>
      <c r="T19" s="315"/>
      <c r="AF19" s="771"/>
    </row>
    <row r="20" spans="1:32" ht="31.5" x14ac:dyDescent="0.25">
      <c r="A20" s="770"/>
      <c r="B20" s="766">
        <v>15</v>
      </c>
      <c r="C20" s="765" t="s">
        <v>834</v>
      </c>
      <c r="D20" s="1353">
        <f>MROUND((F4*0.15),1)</f>
        <v>9</v>
      </c>
      <c r="E20" s="1354"/>
      <c r="F20" s="1354"/>
      <c r="G20" s="1354"/>
      <c r="H20" s="1354"/>
      <c r="I20" s="1354"/>
      <c r="J20" s="1354"/>
      <c r="K20" s="1354"/>
      <c r="L20" s="1354"/>
      <c r="M20" s="1355"/>
      <c r="N20" s="503"/>
      <c r="O20" s="18"/>
      <c r="Q20" s="315"/>
      <c r="R20" s="315"/>
      <c r="S20" s="315"/>
      <c r="T20" s="315"/>
      <c r="AF20" s="771"/>
    </row>
    <row r="21" spans="1:32" ht="15.75" x14ac:dyDescent="0.25">
      <c r="A21" s="568"/>
      <c r="B21" s="1345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763"/>
      <c r="X21" s="482">
        <f>инфляция!A2</f>
        <v>0.32590000000000002</v>
      </c>
    </row>
    <row r="22" spans="1:32" ht="15.75" x14ac:dyDescent="0.25">
      <c r="A22" s="568"/>
      <c r="B22" s="1347"/>
      <c r="C22" s="1348"/>
      <c r="D22" s="1348"/>
      <c r="E22" s="1348"/>
      <c r="F22" s="1348"/>
      <c r="G22" s="1348"/>
      <c r="H22" s="1348"/>
      <c r="I22" s="1348"/>
      <c r="J22" s="1348"/>
      <c r="K22" s="1348"/>
      <c r="L22" s="1348"/>
      <c r="M22" s="763"/>
      <c r="X22" s="482">
        <f t="shared" ref="X22:X39" si="1">X21</f>
        <v>0.32590000000000002</v>
      </c>
    </row>
    <row r="23" spans="1:32" ht="25.5" customHeight="1" x14ac:dyDescent="0.25">
      <c r="A23" s="568"/>
      <c r="B23" s="1335" t="s">
        <v>608</v>
      </c>
      <c r="C23" s="1336"/>
      <c r="D23" s="1336"/>
      <c r="E23" s="1336"/>
      <c r="F23" s="1336"/>
      <c r="G23" s="1336"/>
      <c r="H23" s="1336"/>
      <c r="I23" s="1336"/>
      <c r="J23" s="1336"/>
      <c r="K23" s="1336"/>
      <c r="L23" s="1336"/>
      <c r="M23" s="568"/>
      <c r="X23" s="482">
        <f t="shared" si="1"/>
        <v>0.32590000000000002</v>
      </c>
    </row>
    <row r="24" spans="1:32" x14ac:dyDescent="0.25">
      <c r="A24" s="568"/>
      <c r="B24" s="566">
        <v>16</v>
      </c>
      <c r="C24" s="563" t="s">
        <v>609</v>
      </c>
      <c r="D24" s="565" t="s">
        <v>433</v>
      </c>
      <c r="E24" s="1339">
        <f>MROUND((O24+O24*X24),5)</f>
        <v>125</v>
      </c>
      <c r="F24" s="1339"/>
      <c r="G24" s="1339"/>
      <c r="H24" s="1339"/>
      <c r="I24" s="1339"/>
      <c r="J24" s="1339"/>
      <c r="K24" s="1339"/>
      <c r="L24" s="1339"/>
      <c r="M24" s="568"/>
      <c r="O24" s="1344">
        <v>95</v>
      </c>
      <c r="P24" s="1344"/>
      <c r="Q24" s="1344"/>
      <c r="R24" s="1344"/>
      <c r="S24" s="1344"/>
      <c r="T24" s="1344"/>
      <c r="U24" s="1344"/>
      <c r="V24" s="1344"/>
      <c r="X24" s="482">
        <f t="shared" si="1"/>
        <v>0.32590000000000002</v>
      </c>
    </row>
    <row r="25" spans="1:32" x14ac:dyDescent="0.25">
      <c r="A25" s="568"/>
      <c r="B25" s="566">
        <v>17</v>
      </c>
      <c r="C25" s="563" t="s">
        <v>610</v>
      </c>
      <c r="D25" s="565" t="s">
        <v>433</v>
      </c>
      <c r="E25" s="1339">
        <f t="shared" ref="E25:E29" si="2">MROUND((O25+O25*X25),5)</f>
        <v>250</v>
      </c>
      <c r="F25" s="1339"/>
      <c r="G25" s="1339"/>
      <c r="H25" s="1339"/>
      <c r="I25" s="1339"/>
      <c r="J25" s="1339"/>
      <c r="K25" s="1339"/>
      <c r="L25" s="1339"/>
      <c r="M25" s="568"/>
      <c r="O25" s="1344">
        <v>190</v>
      </c>
      <c r="P25" s="1344"/>
      <c r="Q25" s="1344"/>
      <c r="R25" s="1344"/>
      <c r="S25" s="1344"/>
      <c r="T25" s="1344"/>
      <c r="U25" s="1344"/>
      <c r="V25" s="1344"/>
      <c r="X25" s="482">
        <f t="shared" si="1"/>
        <v>0.32590000000000002</v>
      </c>
    </row>
    <row r="26" spans="1:32" x14ac:dyDescent="0.25">
      <c r="A26" s="568"/>
      <c r="B26" s="764">
        <v>18</v>
      </c>
      <c r="C26" s="563" t="s">
        <v>611</v>
      </c>
      <c r="D26" s="565" t="s">
        <v>433</v>
      </c>
      <c r="E26" s="1339">
        <f t="shared" si="2"/>
        <v>380</v>
      </c>
      <c r="F26" s="1339"/>
      <c r="G26" s="1339"/>
      <c r="H26" s="1339"/>
      <c r="I26" s="1339"/>
      <c r="J26" s="1339"/>
      <c r="K26" s="1339"/>
      <c r="L26" s="1339"/>
      <c r="M26" s="568"/>
      <c r="O26" s="1344">
        <v>285</v>
      </c>
      <c r="P26" s="1344"/>
      <c r="Q26" s="1344"/>
      <c r="R26" s="1344"/>
      <c r="S26" s="1344"/>
      <c r="T26" s="1344"/>
      <c r="U26" s="1344"/>
      <c r="V26" s="1344"/>
      <c r="X26" s="482">
        <f t="shared" si="1"/>
        <v>0.32590000000000002</v>
      </c>
    </row>
    <row r="27" spans="1:32" x14ac:dyDescent="0.25">
      <c r="A27" s="568"/>
      <c r="B27" s="764">
        <v>19</v>
      </c>
      <c r="C27" s="563" t="s">
        <v>612</v>
      </c>
      <c r="D27" s="565" t="s">
        <v>433</v>
      </c>
      <c r="E27" s="1339">
        <f t="shared" si="2"/>
        <v>505</v>
      </c>
      <c r="F27" s="1339"/>
      <c r="G27" s="1339"/>
      <c r="H27" s="1339"/>
      <c r="I27" s="1339"/>
      <c r="J27" s="1339"/>
      <c r="K27" s="1339"/>
      <c r="L27" s="1339"/>
      <c r="M27" s="568"/>
      <c r="O27" s="1344">
        <v>380</v>
      </c>
      <c r="P27" s="1344"/>
      <c r="Q27" s="1344"/>
      <c r="R27" s="1344"/>
      <c r="S27" s="1344"/>
      <c r="T27" s="1344"/>
      <c r="U27" s="1344"/>
      <c r="V27" s="1344"/>
      <c r="X27" s="482">
        <f t="shared" si="1"/>
        <v>0.32590000000000002</v>
      </c>
    </row>
    <row r="28" spans="1:32" x14ac:dyDescent="0.25">
      <c r="A28" s="568"/>
      <c r="B28" s="764">
        <v>20</v>
      </c>
      <c r="C28" s="563" t="s">
        <v>613</v>
      </c>
      <c r="D28" s="565" t="s">
        <v>433</v>
      </c>
      <c r="E28" s="1339">
        <f t="shared" si="2"/>
        <v>630</v>
      </c>
      <c r="F28" s="1339"/>
      <c r="G28" s="1339"/>
      <c r="H28" s="1339"/>
      <c r="I28" s="1339"/>
      <c r="J28" s="1339"/>
      <c r="K28" s="1339"/>
      <c r="L28" s="1339"/>
      <c r="M28" s="568"/>
      <c r="O28" s="1344">
        <v>475</v>
      </c>
      <c r="P28" s="1344"/>
      <c r="Q28" s="1344"/>
      <c r="R28" s="1344"/>
      <c r="S28" s="1344"/>
      <c r="T28" s="1344"/>
      <c r="U28" s="1344"/>
      <c r="V28" s="1344"/>
      <c r="X28" s="482">
        <f t="shared" si="1"/>
        <v>0.32590000000000002</v>
      </c>
    </row>
    <row r="29" spans="1:32" x14ac:dyDescent="0.25">
      <c r="A29" s="568"/>
      <c r="B29" s="764">
        <v>21</v>
      </c>
      <c r="C29" s="563" t="s">
        <v>614</v>
      </c>
      <c r="D29" s="565" t="s">
        <v>433</v>
      </c>
      <c r="E29" s="1339">
        <f t="shared" si="2"/>
        <v>755</v>
      </c>
      <c r="F29" s="1339"/>
      <c r="G29" s="1339"/>
      <c r="H29" s="1339"/>
      <c r="I29" s="1339"/>
      <c r="J29" s="1339"/>
      <c r="K29" s="1339"/>
      <c r="L29" s="1339"/>
      <c r="M29" s="568"/>
      <c r="O29" s="1344">
        <v>571</v>
      </c>
      <c r="P29" s="1344"/>
      <c r="Q29" s="1344"/>
      <c r="R29" s="1344"/>
      <c r="S29" s="1344"/>
      <c r="T29" s="1344"/>
      <c r="U29" s="1344"/>
      <c r="V29" s="1344"/>
      <c r="X29" s="482">
        <f t="shared" si="1"/>
        <v>0.32590000000000002</v>
      </c>
    </row>
    <row r="30" spans="1:32" x14ac:dyDescent="0.25">
      <c r="A30" s="568"/>
      <c r="B30" s="1340"/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568"/>
      <c r="X30" s="482">
        <f t="shared" si="1"/>
        <v>0.32590000000000002</v>
      </c>
    </row>
    <row r="31" spans="1:32" ht="30" customHeight="1" x14ac:dyDescent="0.25">
      <c r="A31" s="568"/>
      <c r="B31" s="1337" t="s">
        <v>606</v>
      </c>
      <c r="C31" s="1338"/>
      <c r="D31" s="1338"/>
      <c r="E31" s="1338"/>
      <c r="F31" s="1338"/>
      <c r="G31" s="1338"/>
      <c r="H31" s="1338"/>
      <c r="I31" s="1338"/>
      <c r="J31" s="1338"/>
      <c r="K31" s="1338"/>
      <c r="L31" s="1338"/>
      <c r="M31" s="568"/>
      <c r="X31" s="482">
        <f t="shared" si="1"/>
        <v>0.32590000000000002</v>
      </c>
    </row>
    <row r="32" spans="1:32" ht="33.75" customHeight="1" x14ac:dyDescent="0.25">
      <c r="A32" s="568"/>
      <c r="B32" s="566"/>
      <c r="C32" s="566"/>
      <c r="D32" s="567" t="s">
        <v>571</v>
      </c>
      <c r="E32" s="1342" t="s">
        <v>615</v>
      </c>
      <c r="F32" s="1342"/>
      <c r="G32" s="1342"/>
      <c r="H32" s="1342"/>
      <c r="I32" s="1342" t="s">
        <v>616</v>
      </c>
      <c r="J32" s="1342"/>
      <c r="K32" s="1342"/>
      <c r="L32" s="1342"/>
      <c r="M32" s="568"/>
      <c r="X32" s="482">
        <f t="shared" si="1"/>
        <v>0.32590000000000002</v>
      </c>
    </row>
    <row r="33" spans="1:25" x14ac:dyDescent="0.25">
      <c r="A33" s="568"/>
      <c r="B33" s="566">
        <v>22</v>
      </c>
      <c r="C33" s="563" t="s">
        <v>603</v>
      </c>
      <c r="D33" s="565" t="s">
        <v>12</v>
      </c>
      <c r="E33" s="1334">
        <f>MROUND((O33+O33*X33),5)</f>
        <v>240</v>
      </c>
      <c r="F33" s="1334"/>
      <c r="G33" s="1334"/>
      <c r="H33" s="1334"/>
      <c r="I33" s="1334">
        <f>MROUND((S33+S33*AB33),5)</f>
        <v>115</v>
      </c>
      <c r="J33" s="1334"/>
      <c r="K33" s="1334"/>
      <c r="L33" s="1334"/>
      <c r="M33" s="568"/>
      <c r="O33" s="1344">
        <v>181</v>
      </c>
      <c r="P33" s="1344"/>
      <c r="Q33" s="1344"/>
      <c r="R33" s="1344"/>
      <c r="S33" s="1350">
        <v>114</v>
      </c>
      <c r="T33" s="1350"/>
      <c r="U33" s="1350"/>
      <c r="V33" s="1350"/>
      <c r="X33" s="482">
        <f t="shared" si="1"/>
        <v>0.32590000000000002</v>
      </c>
      <c r="Y33" s="482">
        <f>X33</f>
        <v>0.32590000000000002</v>
      </c>
    </row>
    <row r="34" spans="1:25" x14ac:dyDescent="0.25">
      <c r="A34" s="568"/>
      <c r="B34" s="566">
        <v>23</v>
      </c>
      <c r="C34" s="563" t="s">
        <v>604</v>
      </c>
      <c r="D34" s="565" t="s">
        <v>12</v>
      </c>
      <c r="E34" s="1334">
        <f t="shared" ref="E34:E35" si="3">MROUND((O34+O34*X34),5)</f>
        <v>315</v>
      </c>
      <c r="F34" s="1334"/>
      <c r="G34" s="1334"/>
      <c r="H34" s="1334"/>
      <c r="I34" s="1334">
        <f t="shared" ref="I34:I35" si="4">MROUND((S34+S34*AB34),5)</f>
        <v>145</v>
      </c>
      <c r="J34" s="1334"/>
      <c r="K34" s="1334"/>
      <c r="L34" s="1334"/>
      <c r="M34" s="568"/>
      <c r="O34" s="1344">
        <v>238</v>
      </c>
      <c r="P34" s="1344"/>
      <c r="Q34" s="1344"/>
      <c r="R34" s="1344"/>
      <c r="S34" s="1350">
        <v>147</v>
      </c>
      <c r="T34" s="1350"/>
      <c r="U34" s="1350"/>
      <c r="V34" s="1350"/>
      <c r="X34" s="482">
        <f t="shared" si="1"/>
        <v>0.32590000000000002</v>
      </c>
      <c r="Y34" s="482">
        <f t="shared" ref="Y34:Y39" si="5">X34</f>
        <v>0.32590000000000002</v>
      </c>
    </row>
    <row r="35" spans="1:25" x14ac:dyDescent="0.25">
      <c r="A35" s="568"/>
      <c r="B35" s="566">
        <v>24</v>
      </c>
      <c r="C35" s="563" t="s">
        <v>605</v>
      </c>
      <c r="D35" s="565" t="s">
        <v>12</v>
      </c>
      <c r="E35" s="1334">
        <f t="shared" si="3"/>
        <v>380</v>
      </c>
      <c r="F35" s="1334"/>
      <c r="G35" s="1334"/>
      <c r="H35" s="1334"/>
      <c r="I35" s="1334">
        <f t="shared" si="4"/>
        <v>175</v>
      </c>
      <c r="J35" s="1334"/>
      <c r="K35" s="1334"/>
      <c r="L35" s="1334"/>
      <c r="M35" s="568"/>
      <c r="O35" s="1344">
        <v>285</v>
      </c>
      <c r="P35" s="1344"/>
      <c r="Q35" s="1344"/>
      <c r="R35" s="1344"/>
      <c r="S35" s="1350">
        <v>176</v>
      </c>
      <c r="T35" s="1350"/>
      <c r="U35" s="1350"/>
      <c r="V35" s="1350"/>
      <c r="X35" s="482">
        <f t="shared" si="1"/>
        <v>0.32590000000000002</v>
      </c>
      <c r="Y35" s="482">
        <f t="shared" si="5"/>
        <v>0.32590000000000002</v>
      </c>
    </row>
    <row r="36" spans="1:25" ht="27" customHeight="1" x14ac:dyDescent="0.25">
      <c r="A36" s="568"/>
      <c r="B36" s="1351" t="s">
        <v>607</v>
      </c>
      <c r="C36" s="1352"/>
      <c r="D36" s="1352"/>
      <c r="E36" s="1352"/>
      <c r="F36" s="1352"/>
      <c r="G36" s="1352"/>
      <c r="H36" s="1352"/>
      <c r="I36" s="1352"/>
      <c r="J36" s="1352"/>
      <c r="K36" s="1352"/>
      <c r="L36" s="1352"/>
      <c r="M36" s="568"/>
      <c r="X36" s="482">
        <f t="shared" si="1"/>
        <v>0.32590000000000002</v>
      </c>
      <c r="Y36" s="482">
        <f t="shared" si="5"/>
        <v>0.32590000000000002</v>
      </c>
    </row>
    <row r="37" spans="1:25" x14ac:dyDescent="0.25">
      <c r="A37" s="568"/>
      <c r="B37" s="566">
        <v>25</v>
      </c>
      <c r="C37" s="563" t="s">
        <v>603</v>
      </c>
      <c r="D37" s="565" t="s">
        <v>12</v>
      </c>
      <c r="E37" s="1334">
        <f>MROUND((O37+O37*X37),5)</f>
        <v>320</v>
      </c>
      <c r="F37" s="1334"/>
      <c r="G37" s="1334"/>
      <c r="H37" s="1334"/>
      <c r="I37" s="1334">
        <f>MROUND((S37+S37*AB37),5)</f>
        <v>150</v>
      </c>
      <c r="J37" s="1334"/>
      <c r="K37" s="1334"/>
      <c r="L37" s="1334"/>
      <c r="M37" s="568"/>
      <c r="O37" s="1344">
        <v>242</v>
      </c>
      <c r="P37" s="1344"/>
      <c r="Q37" s="1344"/>
      <c r="R37" s="1344"/>
      <c r="S37" s="1350">
        <v>152</v>
      </c>
      <c r="T37" s="1350"/>
      <c r="U37" s="1350"/>
      <c r="V37" s="1350"/>
      <c r="X37" s="482">
        <f t="shared" si="1"/>
        <v>0.32590000000000002</v>
      </c>
      <c r="Y37" s="482">
        <f t="shared" si="5"/>
        <v>0.32590000000000002</v>
      </c>
    </row>
    <row r="38" spans="1:25" x14ac:dyDescent="0.25">
      <c r="A38" s="568"/>
      <c r="B38" s="566">
        <v>26</v>
      </c>
      <c r="C38" s="563" t="s">
        <v>604</v>
      </c>
      <c r="D38" s="565" t="s">
        <v>12</v>
      </c>
      <c r="E38" s="1334">
        <f t="shared" ref="E38:E39" si="6">MROUND((O38+O38*X38),5)</f>
        <v>425</v>
      </c>
      <c r="F38" s="1334"/>
      <c r="G38" s="1334"/>
      <c r="H38" s="1334"/>
      <c r="I38" s="1334">
        <f t="shared" ref="I38:I39" si="7">MROUND((S38+S38*AB38),5)</f>
        <v>200</v>
      </c>
      <c r="J38" s="1334"/>
      <c r="K38" s="1334"/>
      <c r="L38" s="1334"/>
      <c r="M38" s="568"/>
      <c r="O38" s="1344">
        <v>319</v>
      </c>
      <c r="P38" s="1344"/>
      <c r="Q38" s="1344"/>
      <c r="R38" s="1344"/>
      <c r="S38" s="1350">
        <v>200</v>
      </c>
      <c r="T38" s="1350"/>
      <c r="U38" s="1350"/>
      <c r="V38" s="1350"/>
      <c r="X38" s="482">
        <f t="shared" si="1"/>
        <v>0.32590000000000002</v>
      </c>
      <c r="Y38" s="482">
        <f t="shared" si="5"/>
        <v>0.32590000000000002</v>
      </c>
    </row>
    <row r="39" spans="1:25" x14ac:dyDescent="0.25">
      <c r="A39" s="568"/>
      <c r="B39" s="566">
        <v>27</v>
      </c>
      <c r="C39" s="563" t="s">
        <v>605</v>
      </c>
      <c r="D39" s="565" t="s">
        <v>12</v>
      </c>
      <c r="E39" s="1334">
        <f t="shared" si="6"/>
        <v>505</v>
      </c>
      <c r="F39" s="1334"/>
      <c r="G39" s="1334"/>
      <c r="H39" s="1334"/>
      <c r="I39" s="1334">
        <f t="shared" si="7"/>
        <v>240</v>
      </c>
      <c r="J39" s="1334"/>
      <c r="K39" s="1334"/>
      <c r="L39" s="1334"/>
      <c r="M39" s="568"/>
      <c r="O39" s="1344">
        <v>380</v>
      </c>
      <c r="P39" s="1344"/>
      <c r="Q39" s="1344"/>
      <c r="R39" s="1344"/>
      <c r="S39" s="1350">
        <v>238</v>
      </c>
      <c r="T39" s="1350"/>
      <c r="U39" s="1350"/>
      <c r="V39" s="1350"/>
      <c r="X39" s="482">
        <f t="shared" si="1"/>
        <v>0.32590000000000002</v>
      </c>
      <c r="Y39" s="482">
        <f t="shared" si="5"/>
        <v>0.32590000000000002</v>
      </c>
    </row>
    <row r="40" spans="1:25" x14ac:dyDescent="0.25">
      <c r="A40" s="568"/>
      <c r="B40" s="569"/>
      <c r="C40" s="570"/>
      <c r="D40" s="571"/>
      <c r="E40" s="571"/>
      <c r="F40" s="571"/>
      <c r="G40" s="571"/>
      <c r="H40" s="571"/>
      <c r="I40" s="568"/>
      <c r="J40" s="568"/>
      <c r="K40" s="568"/>
      <c r="L40" s="568"/>
      <c r="M40" s="568"/>
    </row>
    <row r="41" spans="1:25" x14ac:dyDescent="0.25">
      <c r="C41" s="455"/>
    </row>
    <row r="42" spans="1:25" ht="48" customHeight="1" x14ac:dyDescent="0.25">
      <c r="A42" s="572" t="s">
        <v>137</v>
      </c>
      <c r="B42" s="1349" t="s">
        <v>773</v>
      </c>
      <c r="C42" s="1349"/>
      <c r="D42" s="1349"/>
      <c r="E42" s="1349"/>
      <c r="F42" s="1349"/>
      <c r="G42" s="1349"/>
      <c r="H42" s="1349"/>
      <c r="I42" s="1349"/>
      <c r="J42" s="1349"/>
      <c r="K42" s="1349"/>
      <c r="L42" s="1349"/>
      <c r="M42" s="1349"/>
    </row>
    <row r="43" spans="1:25" x14ac:dyDescent="0.25">
      <c r="C43" s="455"/>
    </row>
    <row r="44" spans="1:25" ht="25.5" customHeight="1" x14ac:dyDescent="0.25">
      <c r="A44" s="858" t="s">
        <v>668</v>
      </c>
      <c r="B44" s="858"/>
      <c r="C44" s="858"/>
      <c r="D44" s="858"/>
      <c r="E44" s="858"/>
      <c r="F44" s="858"/>
      <c r="G44" s="858"/>
      <c r="H44" s="858"/>
      <c r="I44" s="858"/>
      <c r="J44" s="858"/>
      <c r="K44" s="858"/>
      <c r="L44" s="858"/>
      <c r="M44" s="858"/>
    </row>
    <row r="45" spans="1:25" x14ac:dyDescent="0.25">
      <c r="C45" s="455"/>
    </row>
    <row r="46" spans="1:25" x14ac:dyDescent="0.25">
      <c r="C46" s="455"/>
    </row>
    <row r="47" spans="1:25" x14ac:dyDescent="0.25">
      <c r="C47" s="455"/>
    </row>
  </sheetData>
  <mergeCells count="67">
    <mergeCell ref="D4:E4"/>
    <mergeCell ref="D3:E3"/>
    <mergeCell ref="F4:M4"/>
    <mergeCell ref="F3:M3"/>
    <mergeCell ref="D16:M16"/>
    <mergeCell ref="A5:M5"/>
    <mergeCell ref="D6:M6"/>
    <mergeCell ref="D7:M7"/>
    <mergeCell ref="D8:M8"/>
    <mergeCell ref="D9:M9"/>
    <mergeCell ref="D17:M17"/>
    <mergeCell ref="D18:M18"/>
    <mergeCell ref="D19:M19"/>
    <mergeCell ref="D20:M20"/>
    <mergeCell ref="D10:M10"/>
    <mergeCell ref="D11:M11"/>
    <mergeCell ref="D12:M12"/>
    <mergeCell ref="D14:M14"/>
    <mergeCell ref="D15:M15"/>
    <mergeCell ref="A13:M13"/>
    <mergeCell ref="O28:V28"/>
    <mergeCell ref="O29:V29"/>
    <mergeCell ref="O33:R33"/>
    <mergeCell ref="S33:V33"/>
    <mergeCell ref="O34:R34"/>
    <mergeCell ref="S34:V34"/>
    <mergeCell ref="B42:M42"/>
    <mergeCell ref="O35:R35"/>
    <mergeCell ref="S35:V35"/>
    <mergeCell ref="O37:R37"/>
    <mergeCell ref="S37:V37"/>
    <mergeCell ref="O38:R38"/>
    <mergeCell ref="S38:V38"/>
    <mergeCell ref="E37:H37"/>
    <mergeCell ref="I37:L37"/>
    <mergeCell ref="E38:H38"/>
    <mergeCell ref="E39:H39"/>
    <mergeCell ref="I38:L38"/>
    <mergeCell ref="I39:L39"/>
    <mergeCell ref="B36:L36"/>
    <mergeCell ref="O39:R39"/>
    <mergeCell ref="S39:V39"/>
    <mergeCell ref="O24:V24"/>
    <mergeCell ref="O25:V25"/>
    <mergeCell ref="O26:V26"/>
    <mergeCell ref="O27:V27"/>
    <mergeCell ref="B21:L22"/>
    <mergeCell ref="E24:L24"/>
    <mergeCell ref="E25:L25"/>
    <mergeCell ref="E26:L26"/>
    <mergeCell ref="E27:L27"/>
    <mergeCell ref="D1:M1"/>
    <mergeCell ref="A44:M44"/>
    <mergeCell ref="I33:L33"/>
    <mergeCell ref="I34:L34"/>
    <mergeCell ref="I35:L35"/>
    <mergeCell ref="B23:L23"/>
    <mergeCell ref="B31:L31"/>
    <mergeCell ref="E28:L28"/>
    <mergeCell ref="E29:L29"/>
    <mergeCell ref="B30:L30"/>
    <mergeCell ref="E32:H32"/>
    <mergeCell ref="I32:L32"/>
    <mergeCell ref="E33:H33"/>
    <mergeCell ref="E34:H34"/>
    <mergeCell ref="E35:H35"/>
    <mergeCell ref="A2:M2"/>
  </mergeCells>
  <phoneticPr fontId="17" alignment="center"/>
  <hyperlinks>
    <hyperlink ref="N2" location="СОДЕРЖАНИЕ!A1" display="назад к содержанию" xr:uid="{9F67299E-F59B-E84A-8E2B-B506C5CDBEBD}"/>
    <hyperlink ref="AF2" location="Спасибо!A3" display="Спасибо!" xr:uid="{276DF191-3275-C540-BF23-0F21E9038B84}"/>
  </hyperlink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D360-4215-2F48-A92D-67A1A90AFAA6}">
  <dimension ref="A1:AH49"/>
  <sheetViews>
    <sheetView workbookViewId="0">
      <selection activeCell="C56" sqref="C56"/>
    </sheetView>
  </sheetViews>
  <sheetFormatPr defaultColWidth="8.5703125" defaultRowHeight="15.75" x14ac:dyDescent="0.25"/>
  <cols>
    <col min="1" max="1" width="3.5703125" style="340" bestFit="1" customWidth="1"/>
    <col min="2" max="2" width="46.85546875" style="316" customWidth="1"/>
    <col min="3" max="3" width="8" style="316" bestFit="1" customWidth="1"/>
    <col min="4" max="7" width="10.28515625" style="316" customWidth="1"/>
    <col min="8" max="8" width="12.7109375" style="15" customWidth="1"/>
    <col min="9" max="9" width="11.42578125" style="314" hidden="1" customWidth="1"/>
    <col min="10" max="10" width="8.5703125" hidden="1" customWidth="1"/>
    <col min="11" max="11" width="47.5703125" hidden="1" customWidth="1"/>
    <col min="12" max="15" width="8.7109375" style="315" hidden="1" customWidth="1"/>
    <col min="16" max="24" width="0" hidden="1" customWidth="1"/>
    <col min="26" max="34" width="0" hidden="1" customWidth="1"/>
  </cols>
  <sheetData>
    <row r="1" spans="1:34" ht="16.5" thickBot="1" x14ac:dyDescent="0.3">
      <c r="B1" s="754" t="str">
        <f>'4.3 Снег, наледь, сосульки'!C1</f>
        <v>Актуально на 01 апреля 2022</v>
      </c>
    </row>
    <row r="2" spans="1:34" ht="30.75" thickBot="1" x14ac:dyDescent="0.4">
      <c r="A2" s="1321" t="s">
        <v>624</v>
      </c>
      <c r="B2" s="1082"/>
      <c r="C2" s="1082"/>
      <c r="D2" s="1082"/>
      <c r="E2" s="1082"/>
      <c r="F2" s="1082"/>
      <c r="G2" s="1322"/>
      <c r="H2" s="381" t="s">
        <v>302</v>
      </c>
      <c r="I2" s="18"/>
      <c r="Y2" s="579" t="s">
        <v>622</v>
      </c>
    </row>
    <row r="3" spans="1:34" ht="23.25" x14ac:dyDescent="0.35">
      <c r="A3" s="1393" t="s">
        <v>1</v>
      </c>
      <c r="B3" s="1372" t="s">
        <v>2</v>
      </c>
      <c r="C3" s="1372" t="s">
        <v>571</v>
      </c>
      <c r="D3" s="1398" t="s">
        <v>646</v>
      </c>
      <c r="E3" s="1398"/>
      <c r="F3" s="1398"/>
      <c r="G3" s="1398"/>
      <c r="H3" s="338"/>
      <c r="I3" s="18"/>
      <c r="Y3" s="581"/>
    </row>
    <row r="4" spans="1:34" x14ac:dyDescent="0.25">
      <c r="A4" s="1393"/>
      <c r="B4" s="1372"/>
      <c r="C4" s="1372"/>
      <c r="D4" s="1396" t="s">
        <v>647</v>
      </c>
      <c r="E4" s="1396"/>
      <c r="F4" s="1397" t="s">
        <v>648</v>
      </c>
      <c r="G4" s="1397"/>
      <c r="H4" s="503"/>
      <c r="I4" s="18"/>
      <c r="U4" s="482">
        <f>инфляция!A2</f>
        <v>0.32590000000000002</v>
      </c>
      <c r="Y4" s="18"/>
    </row>
    <row r="5" spans="1:34" ht="30" customHeight="1" x14ac:dyDescent="0.25">
      <c r="A5" s="1393"/>
      <c r="B5" s="1372"/>
      <c r="C5" s="1372"/>
      <c r="D5" s="1394" t="s">
        <v>644</v>
      </c>
      <c r="E5" s="1395" t="s">
        <v>645</v>
      </c>
      <c r="F5" s="1394" t="s">
        <v>644</v>
      </c>
      <c r="G5" s="1395" t="s">
        <v>645</v>
      </c>
      <c r="U5" s="482">
        <f>U4</f>
        <v>0.32590000000000002</v>
      </c>
    </row>
    <row r="6" spans="1:34" x14ac:dyDescent="0.25">
      <c r="A6" s="1393"/>
      <c r="B6" s="1372"/>
      <c r="C6" s="1372"/>
      <c r="D6" s="1394"/>
      <c r="E6" s="1395"/>
      <c r="F6" s="1394"/>
      <c r="G6" s="1395"/>
      <c r="U6" s="482">
        <f t="shared" ref="U6" si="0">U5</f>
        <v>0.32590000000000002</v>
      </c>
    </row>
    <row r="7" spans="1:34" x14ac:dyDescent="0.25">
      <c r="A7" s="586">
        <v>1</v>
      </c>
      <c r="B7" s="563" t="s">
        <v>631</v>
      </c>
      <c r="C7" s="585" t="s">
        <v>433</v>
      </c>
      <c r="D7" s="594">
        <f>MROUND((Z7+Z7*AE7),5)</f>
        <v>405</v>
      </c>
      <c r="E7" s="595">
        <f t="shared" ref="E7:G7" si="1">MROUND((AA7+AA7*AF7),5)</f>
        <v>645</v>
      </c>
      <c r="F7" s="594">
        <f t="shared" si="1"/>
        <v>280</v>
      </c>
      <c r="G7" s="595">
        <f t="shared" si="1"/>
        <v>450</v>
      </c>
      <c r="Z7" s="582">
        <v>304</v>
      </c>
      <c r="AA7" s="582">
        <v>487</v>
      </c>
      <c r="AB7" s="582">
        <v>213</v>
      </c>
      <c r="AC7" s="582">
        <v>340</v>
      </c>
      <c r="AE7" s="482">
        <f>инфляция!A2</f>
        <v>0.32590000000000002</v>
      </c>
      <c r="AF7" s="482">
        <f>AE7</f>
        <v>0.32590000000000002</v>
      </c>
      <c r="AG7" s="482">
        <f t="shared" ref="AG7:AH7" si="2">AF7</f>
        <v>0.32590000000000002</v>
      </c>
      <c r="AH7" s="482">
        <f t="shared" si="2"/>
        <v>0.32590000000000002</v>
      </c>
    </row>
    <row r="8" spans="1:34" ht="15" customHeight="1" x14ac:dyDescent="0.25">
      <c r="A8" s="1384">
        <v>2</v>
      </c>
      <c r="B8" s="1373" t="s">
        <v>632</v>
      </c>
      <c r="C8" s="1374"/>
      <c r="D8" s="1374"/>
      <c r="E8" s="1374"/>
      <c r="F8" s="1374"/>
      <c r="G8" s="1375"/>
      <c r="Z8" s="582"/>
      <c r="AA8" s="582"/>
      <c r="AB8" s="582"/>
      <c r="AC8" s="582"/>
      <c r="AE8" s="482">
        <f>AE7</f>
        <v>0.32590000000000002</v>
      </c>
      <c r="AF8" s="482">
        <f t="shared" ref="AF8:AH8" si="3">AE8</f>
        <v>0.32590000000000002</v>
      </c>
      <c r="AG8" s="482">
        <f t="shared" si="3"/>
        <v>0.32590000000000002</v>
      </c>
      <c r="AH8" s="482">
        <f t="shared" si="3"/>
        <v>0.32590000000000002</v>
      </c>
    </row>
    <row r="9" spans="1:34" x14ac:dyDescent="0.25">
      <c r="A9" s="1384"/>
      <c r="B9" s="592" t="s">
        <v>633</v>
      </c>
      <c r="C9" s="580" t="s">
        <v>433</v>
      </c>
      <c r="D9" s="594">
        <f>MROUND((Z9+Z9*AE9),5)</f>
        <v>505</v>
      </c>
      <c r="E9" s="595">
        <f t="shared" ref="E9:G9" si="4">MROUND((AA9+AA9*AF9),5)</f>
        <v>805</v>
      </c>
      <c r="F9" s="594">
        <f t="shared" si="4"/>
        <v>355</v>
      </c>
      <c r="G9" s="595">
        <f t="shared" si="4"/>
        <v>565</v>
      </c>
      <c r="Z9" s="582">
        <v>380</v>
      </c>
      <c r="AA9" s="582">
        <v>609</v>
      </c>
      <c r="AB9" s="582">
        <v>266</v>
      </c>
      <c r="AC9" s="582">
        <v>426</v>
      </c>
      <c r="AE9" s="482">
        <f t="shared" ref="AE9:AE41" si="5">AE8</f>
        <v>0.32590000000000002</v>
      </c>
      <c r="AF9" s="482">
        <f t="shared" ref="AF9:AH9" si="6">AE9</f>
        <v>0.32590000000000002</v>
      </c>
      <c r="AG9" s="482">
        <f t="shared" si="6"/>
        <v>0.32590000000000002</v>
      </c>
      <c r="AH9" s="482">
        <f t="shared" si="6"/>
        <v>0.32590000000000002</v>
      </c>
    </row>
    <row r="10" spans="1:34" x14ac:dyDescent="0.25">
      <c r="A10" s="1384"/>
      <c r="B10" s="583" t="s">
        <v>634</v>
      </c>
      <c r="C10" s="580" t="s">
        <v>433</v>
      </c>
      <c r="D10" s="594">
        <f t="shared" ref="D10:D16" si="7">MROUND((Z10+Z10*AE10),5)</f>
        <v>605</v>
      </c>
      <c r="E10" s="595">
        <f t="shared" ref="E10:E16" si="8">MROUND((AA10+AA10*AF10),5)</f>
        <v>970</v>
      </c>
      <c r="F10" s="594">
        <f t="shared" ref="F10:F16" si="9">MROUND((AB10+AB10*AG10),5)</f>
        <v>425</v>
      </c>
      <c r="G10" s="595">
        <f t="shared" ref="G10:G16" si="10">MROUND((AC10+AC10*AH10),5)</f>
        <v>680</v>
      </c>
      <c r="Z10" s="582">
        <v>456</v>
      </c>
      <c r="AA10" s="582">
        <v>730</v>
      </c>
      <c r="AB10" s="582">
        <v>320</v>
      </c>
      <c r="AC10" s="582">
        <v>512</v>
      </c>
      <c r="AE10" s="482">
        <f t="shared" si="5"/>
        <v>0.32590000000000002</v>
      </c>
      <c r="AF10" s="482">
        <f t="shared" ref="AF10:AH10" si="11">AE10</f>
        <v>0.32590000000000002</v>
      </c>
      <c r="AG10" s="482">
        <f t="shared" si="11"/>
        <v>0.32590000000000002</v>
      </c>
      <c r="AH10" s="482">
        <f t="shared" si="11"/>
        <v>0.32590000000000002</v>
      </c>
    </row>
    <row r="11" spans="1:34" x14ac:dyDescent="0.25">
      <c r="A11" s="1384"/>
      <c r="B11" s="344" t="s">
        <v>635</v>
      </c>
      <c r="C11" s="580" t="s">
        <v>433</v>
      </c>
      <c r="D11" s="594">
        <f t="shared" si="7"/>
        <v>705</v>
      </c>
      <c r="E11" s="595">
        <f t="shared" si="8"/>
        <v>1130</v>
      </c>
      <c r="F11" s="594">
        <f t="shared" si="9"/>
        <v>495</v>
      </c>
      <c r="G11" s="595">
        <f t="shared" si="10"/>
        <v>790</v>
      </c>
      <c r="Z11" s="582">
        <v>533</v>
      </c>
      <c r="AA11" s="582">
        <v>852</v>
      </c>
      <c r="AB11" s="582">
        <v>373</v>
      </c>
      <c r="AC11" s="582">
        <v>596</v>
      </c>
      <c r="AE11" s="482">
        <f t="shared" si="5"/>
        <v>0.32590000000000002</v>
      </c>
      <c r="AF11" s="482">
        <f t="shared" ref="AF11:AH11" si="12">AE11</f>
        <v>0.32590000000000002</v>
      </c>
      <c r="AG11" s="482">
        <f t="shared" si="12"/>
        <v>0.32590000000000002</v>
      </c>
      <c r="AH11" s="482">
        <f t="shared" si="12"/>
        <v>0.32590000000000002</v>
      </c>
    </row>
    <row r="12" spans="1:34" x14ac:dyDescent="0.25">
      <c r="A12" s="1384"/>
      <c r="B12" s="593" t="s">
        <v>636</v>
      </c>
      <c r="C12" s="580" t="s">
        <v>433</v>
      </c>
      <c r="D12" s="594">
        <f t="shared" si="7"/>
        <v>805</v>
      </c>
      <c r="E12" s="595">
        <f t="shared" si="8"/>
        <v>1290</v>
      </c>
      <c r="F12" s="594">
        <f t="shared" si="9"/>
        <v>565</v>
      </c>
      <c r="G12" s="595">
        <f t="shared" si="10"/>
        <v>905</v>
      </c>
      <c r="Z12" s="582">
        <v>609</v>
      </c>
      <c r="AA12" s="582">
        <v>974</v>
      </c>
      <c r="AB12" s="582">
        <v>426</v>
      </c>
      <c r="AC12" s="582">
        <v>682</v>
      </c>
      <c r="AE12" s="482">
        <f t="shared" si="5"/>
        <v>0.32590000000000002</v>
      </c>
      <c r="AF12" s="482">
        <f t="shared" ref="AF12:AH12" si="13">AE12</f>
        <v>0.32590000000000002</v>
      </c>
      <c r="AG12" s="482">
        <f t="shared" si="13"/>
        <v>0.32590000000000002</v>
      </c>
      <c r="AH12" s="482">
        <f t="shared" si="13"/>
        <v>0.32590000000000002</v>
      </c>
    </row>
    <row r="13" spans="1:34" x14ac:dyDescent="0.25">
      <c r="A13" s="1384"/>
      <c r="B13" s="341" t="s">
        <v>637</v>
      </c>
      <c r="C13" s="580" t="s">
        <v>433</v>
      </c>
      <c r="D13" s="594">
        <f t="shared" si="7"/>
        <v>910</v>
      </c>
      <c r="E13" s="595">
        <f t="shared" si="8"/>
        <v>1450</v>
      </c>
      <c r="F13" s="594">
        <f t="shared" si="9"/>
        <v>635</v>
      </c>
      <c r="G13" s="595">
        <f t="shared" si="10"/>
        <v>1015</v>
      </c>
      <c r="Z13" s="582">
        <v>685</v>
      </c>
      <c r="AA13" s="582">
        <v>1095</v>
      </c>
      <c r="AB13" s="582">
        <v>479</v>
      </c>
      <c r="AC13" s="582">
        <v>766</v>
      </c>
      <c r="AE13" s="482">
        <f t="shared" si="5"/>
        <v>0.32590000000000002</v>
      </c>
      <c r="AF13" s="482">
        <f t="shared" ref="AF13:AH13" si="14">AE13</f>
        <v>0.32590000000000002</v>
      </c>
      <c r="AG13" s="482">
        <f t="shared" si="14"/>
        <v>0.32590000000000002</v>
      </c>
      <c r="AH13" s="482">
        <f t="shared" si="14"/>
        <v>0.32590000000000002</v>
      </c>
    </row>
    <row r="14" spans="1:34" x14ac:dyDescent="0.25">
      <c r="A14" s="1384"/>
      <c r="B14" s="342" t="s">
        <v>638</v>
      </c>
      <c r="C14" s="580" t="s">
        <v>433</v>
      </c>
      <c r="D14" s="594">
        <f t="shared" si="7"/>
        <v>1010</v>
      </c>
      <c r="E14" s="595">
        <f t="shared" si="8"/>
        <v>1615</v>
      </c>
      <c r="F14" s="594">
        <f t="shared" si="9"/>
        <v>705</v>
      </c>
      <c r="G14" s="595">
        <f t="shared" si="10"/>
        <v>1130</v>
      </c>
      <c r="Z14" s="582">
        <v>761</v>
      </c>
      <c r="AA14" s="582">
        <v>1217</v>
      </c>
      <c r="AB14" s="582">
        <v>533</v>
      </c>
      <c r="AC14" s="582">
        <v>852</v>
      </c>
      <c r="AE14" s="482">
        <f t="shared" si="5"/>
        <v>0.32590000000000002</v>
      </c>
      <c r="AF14" s="482">
        <f t="shared" ref="AF14:AH14" si="15">AE14</f>
        <v>0.32590000000000002</v>
      </c>
      <c r="AG14" s="482">
        <f t="shared" si="15"/>
        <v>0.32590000000000002</v>
      </c>
      <c r="AH14" s="482">
        <f t="shared" si="15"/>
        <v>0.32590000000000002</v>
      </c>
    </row>
    <row r="15" spans="1:34" x14ac:dyDescent="0.25">
      <c r="A15" s="1384"/>
      <c r="B15" s="343" t="s">
        <v>639</v>
      </c>
      <c r="C15" s="580" t="s">
        <v>433</v>
      </c>
      <c r="D15" s="594">
        <f t="shared" si="7"/>
        <v>1110</v>
      </c>
      <c r="E15" s="595">
        <f t="shared" si="8"/>
        <v>1775</v>
      </c>
      <c r="F15" s="594">
        <f t="shared" si="9"/>
        <v>775</v>
      </c>
      <c r="G15" s="595">
        <f t="shared" si="10"/>
        <v>1245</v>
      </c>
      <c r="Z15" s="582">
        <v>837</v>
      </c>
      <c r="AA15" s="582">
        <v>1339</v>
      </c>
      <c r="AB15" s="582">
        <v>586</v>
      </c>
      <c r="AC15" s="582">
        <v>938</v>
      </c>
      <c r="AE15" s="482">
        <f t="shared" si="5"/>
        <v>0.32590000000000002</v>
      </c>
      <c r="AF15" s="482">
        <f t="shared" ref="AF15:AH15" si="16">AE15</f>
        <v>0.32590000000000002</v>
      </c>
      <c r="AG15" s="482">
        <f t="shared" si="16"/>
        <v>0.32590000000000002</v>
      </c>
      <c r="AH15" s="482">
        <f t="shared" si="16"/>
        <v>0.32590000000000002</v>
      </c>
    </row>
    <row r="16" spans="1:34" x14ac:dyDescent="0.25">
      <c r="A16" s="1385"/>
      <c r="B16" s="82" t="s">
        <v>640</v>
      </c>
      <c r="C16" s="580" t="s">
        <v>433</v>
      </c>
      <c r="D16" s="594">
        <f t="shared" si="7"/>
        <v>1210</v>
      </c>
      <c r="E16" s="595">
        <f t="shared" si="8"/>
        <v>1935</v>
      </c>
      <c r="F16" s="594">
        <f t="shared" si="9"/>
        <v>845</v>
      </c>
      <c r="G16" s="595">
        <f t="shared" si="10"/>
        <v>1355</v>
      </c>
      <c r="Z16" s="582">
        <v>913</v>
      </c>
      <c r="AA16" s="582">
        <v>1461</v>
      </c>
      <c r="AB16" s="582">
        <v>639</v>
      </c>
      <c r="AC16" s="582">
        <v>1022</v>
      </c>
      <c r="AE16" s="482">
        <f t="shared" si="5"/>
        <v>0.32590000000000002</v>
      </c>
      <c r="AF16" s="482">
        <f t="shared" ref="AF16:AH16" si="17">AE16</f>
        <v>0.32590000000000002</v>
      </c>
      <c r="AG16" s="482">
        <f t="shared" si="17"/>
        <v>0.32590000000000002</v>
      </c>
      <c r="AH16" s="482">
        <f t="shared" si="17"/>
        <v>0.32590000000000002</v>
      </c>
    </row>
    <row r="17" spans="1:34" x14ac:dyDescent="0.25">
      <c r="A17" s="1386"/>
      <c r="B17" s="1387"/>
      <c r="C17" s="1387"/>
      <c r="D17" s="1387"/>
      <c r="E17" s="1387"/>
      <c r="F17" s="1387"/>
      <c r="G17" s="1388"/>
      <c r="Z17" s="582"/>
      <c r="AA17" s="582"/>
      <c r="AB17" s="582"/>
      <c r="AC17" s="582"/>
      <c r="AE17" s="482">
        <f t="shared" si="5"/>
        <v>0.32590000000000002</v>
      </c>
      <c r="AF17" s="482">
        <f t="shared" ref="AF17:AH17" si="18">AE17</f>
        <v>0.32590000000000002</v>
      </c>
      <c r="AG17" s="482">
        <f t="shared" si="18"/>
        <v>0.32590000000000002</v>
      </c>
      <c r="AH17" s="482">
        <f t="shared" si="18"/>
        <v>0.32590000000000002</v>
      </c>
    </row>
    <row r="18" spans="1:34" x14ac:dyDescent="0.25">
      <c r="A18" s="1389"/>
      <c r="B18" s="1390"/>
      <c r="C18" s="1390"/>
      <c r="D18" s="1390"/>
      <c r="E18" s="1390"/>
      <c r="F18" s="1391"/>
      <c r="G18" s="1392"/>
      <c r="Z18" s="582"/>
      <c r="AA18" s="582"/>
      <c r="AB18" s="582"/>
      <c r="AC18" s="582"/>
      <c r="AE18" s="482">
        <f t="shared" si="5"/>
        <v>0.32590000000000002</v>
      </c>
      <c r="AF18" s="482">
        <f t="shared" ref="AF18:AH18" si="19">AE18</f>
        <v>0.32590000000000002</v>
      </c>
      <c r="AG18" s="482">
        <f t="shared" si="19"/>
        <v>0.32590000000000002</v>
      </c>
      <c r="AH18" s="482">
        <f t="shared" si="19"/>
        <v>0.32590000000000002</v>
      </c>
    </row>
    <row r="19" spans="1:34" x14ac:dyDescent="0.25">
      <c r="A19" s="596" t="s">
        <v>1</v>
      </c>
      <c r="B19" s="597" t="s">
        <v>2</v>
      </c>
      <c r="C19" s="598" t="s">
        <v>3</v>
      </c>
      <c r="D19" s="1370" t="s">
        <v>654</v>
      </c>
      <c r="E19" s="1370"/>
      <c r="F19" s="1376" t="s">
        <v>655</v>
      </c>
      <c r="G19" s="1377"/>
      <c r="Z19" s="582"/>
      <c r="AA19" s="582"/>
      <c r="AB19" s="582"/>
      <c r="AC19" s="582"/>
      <c r="AE19" s="482">
        <f t="shared" si="5"/>
        <v>0.32590000000000002</v>
      </c>
      <c r="AF19" s="482">
        <f t="shared" ref="AF19:AH19" si="20">AE19</f>
        <v>0.32590000000000002</v>
      </c>
      <c r="AG19" s="482">
        <f t="shared" si="20"/>
        <v>0.32590000000000002</v>
      </c>
      <c r="AH19" s="482">
        <f t="shared" si="20"/>
        <v>0.32590000000000002</v>
      </c>
    </row>
    <row r="20" spans="1:34" ht="30" x14ac:dyDescent="0.25">
      <c r="A20" s="589">
        <v>3</v>
      </c>
      <c r="B20" s="591" t="s">
        <v>642</v>
      </c>
      <c r="C20" s="584" t="s">
        <v>433</v>
      </c>
      <c r="D20" s="1380">
        <f>MROUND((Z20+Z20*AE20),5)</f>
        <v>250</v>
      </c>
      <c r="E20" s="1381"/>
      <c r="F20" s="1382">
        <f>MROUND((AB20+AB20*AG20),5)</f>
        <v>405</v>
      </c>
      <c r="G20" s="1383"/>
      <c r="Z20" s="1368">
        <v>190</v>
      </c>
      <c r="AA20" s="1368"/>
      <c r="AB20" s="1368">
        <v>304</v>
      </c>
      <c r="AC20" s="1368"/>
      <c r="AE20" s="482">
        <f t="shared" si="5"/>
        <v>0.32590000000000002</v>
      </c>
      <c r="AF20" s="482">
        <f t="shared" ref="AF20:AH20" si="21">AE20</f>
        <v>0.32590000000000002</v>
      </c>
      <c r="AG20" s="482">
        <f t="shared" si="21"/>
        <v>0.32590000000000002</v>
      </c>
      <c r="AH20" s="482">
        <f t="shared" si="21"/>
        <v>0.32590000000000002</v>
      </c>
    </row>
    <row r="21" spans="1:34" ht="30" x14ac:dyDescent="0.25">
      <c r="A21" s="588">
        <v>4</v>
      </c>
      <c r="B21" s="590" t="s">
        <v>641</v>
      </c>
      <c r="C21" s="587" t="s">
        <v>433</v>
      </c>
      <c r="D21" s="1378">
        <f t="shared" ref="D21:D22" si="22">MROUND((Z21+Z21*AE21),5)</f>
        <v>315</v>
      </c>
      <c r="E21" s="1379"/>
      <c r="F21" s="1378">
        <f t="shared" ref="F21:F22" si="23">MROUND((AB21+AB21*AG21),5)</f>
        <v>505</v>
      </c>
      <c r="G21" s="1379"/>
      <c r="Z21" s="1368">
        <v>238</v>
      </c>
      <c r="AA21" s="1368"/>
      <c r="AB21" s="1368">
        <v>380</v>
      </c>
      <c r="AC21" s="1368"/>
      <c r="AE21" s="482">
        <f t="shared" si="5"/>
        <v>0.32590000000000002</v>
      </c>
      <c r="AF21" s="482">
        <f t="shared" ref="AF21:AH21" si="24">AE21</f>
        <v>0.32590000000000002</v>
      </c>
      <c r="AG21" s="482">
        <f t="shared" si="24"/>
        <v>0.32590000000000002</v>
      </c>
      <c r="AH21" s="482">
        <f t="shared" si="24"/>
        <v>0.32590000000000002</v>
      </c>
    </row>
    <row r="22" spans="1:34" ht="30" x14ac:dyDescent="0.25">
      <c r="A22" s="586">
        <v>5</v>
      </c>
      <c r="B22" s="563" t="s">
        <v>643</v>
      </c>
      <c r="C22" s="585" t="s">
        <v>433</v>
      </c>
      <c r="D22" s="1344">
        <f t="shared" si="22"/>
        <v>375</v>
      </c>
      <c r="E22" s="1344"/>
      <c r="F22" s="1344">
        <f t="shared" si="23"/>
        <v>595</v>
      </c>
      <c r="G22" s="1344"/>
      <c r="Z22" s="1368">
        <v>281</v>
      </c>
      <c r="AA22" s="1368"/>
      <c r="AB22" s="1368">
        <v>449</v>
      </c>
      <c r="AC22" s="1368"/>
      <c r="AE22" s="482">
        <f t="shared" si="5"/>
        <v>0.32590000000000002</v>
      </c>
      <c r="AF22" s="482">
        <f t="shared" ref="AF22:AH22" si="25">AE22</f>
        <v>0.32590000000000002</v>
      </c>
      <c r="AG22" s="482">
        <f t="shared" si="25"/>
        <v>0.32590000000000002</v>
      </c>
      <c r="AH22" s="482">
        <f t="shared" si="25"/>
        <v>0.32590000000000002</v>
      </c>
    </row>
    <row r="23" spans="1:34" x14ac:dyDescent="0.25">
      <c r="A23" s="1371" t="s">
        <v>659</v>
      </c>
      <c r="B23" s="1371"/>
      <c r="C23" s="1371"/>
      <c r="D23" s="1371"/>
      <c r="E23" s="1371"/>
      <c r="F23" s="1371"/>
      <c r="G23" s="1371"/>
      <c r="Z23" s="582"/>
      <c r="AA23" s="582"/>
      <c r="AB23" s="582"/>
      <c r="AC23" s="582"/>
      <c r="AE23" s="482">
        <f t="shared" si="5"/>
        <v>0.32590000000000002</v>
      </c>
      <c r="AF23" s="482">
        <f t="shared" ref="AF23:AH23" si="26">AE23</f>
        <v>0.32590000000000002</v>
      </c>
      <c r="AG23" s="482">
        <f t="shared" si="26"/>
        <v>0.32590000000000002</v>
      </c>
      <c r="AH23" s="482">
        <f t="shared" si="26"/>
        <v>0.32590000000000002</v>
      </c>
    </row>
    <row r="24" spans="1:34" x14ac:dyDescent="0.25">
      <c r="A24" s="586">
        <v>6</v>
      </c>
      <c r="B24" s="563" t="s">
        <v>653</v>
      </c>
      <c r="C24" s="585" t="s">
        <v>433</v>
      </c>
      <c r="D24" s="1344">
        <f>MROUND((Z24+Z24*AE24),5)</f>
        <v>210</v>
      </c>
      <c r="E24" s="1344"/>
      <c r="F24" s="1344">
        <f>MROUND((AB24+AB24*AG24),5)</f>
        <v>335</v>
      </c>
      <c r="G24" s="1344"/>
      <c r="Z24" s="1368">
        <v>157</v>
      </c>
      <c r="AA24" s="1368"/>
      <c r="AB24" s="1368">
        <v>252</v>
      </c>
      <c r="AC24" s="1368"/>
      <c r="AE24" s="482">
        <f t="shared" si="5"/>
        <v>0.32590000000000002</v>
      </c>
      <c r="AF24" s="482">
        <f t="shared" ref="AF24:AH24" si="27">AE24</f>
        <v>0.32590000000000002</v>
      </c>
      <c r="AG24" s="482">
        <f t="shared" si="27"/>
        <v>0.32590000000000002</v>
      </c>
      <c r="AH24" s="482">
        <f t="shared" si="27"/>
        <v>0.32590000000000002</v>
      </c>
    </row>
    <row r="25" spans="1:34" x14ac:dyDescent="0.25">
      <c r="A25" s="586">
        <v>7</v>
      </c>
      <c r="B25" s="563" t="s">
        <v>626</v>
      </c>
      <c r="C25" s="585" t="s">
        <v>433</v>
      </c>
      <c r="D25" s="1344">
        <f t="shared" ref="D25:D26" si="28">MROUND((Z25+Z25*AE25),5)</f>
        <v>480</v>
      </c>
      <c r="E25" s="1344"/>
      <c r="F25" s="1344">
        <f t="shared" ref="F25:F26" si="29">MROUND((AB25+AB25*AG25),5)</f>
        <v>765</v>
      </c>
      <c r="G25" s="1344"/>
      <c r="Z25" s="1368">
        <v>361</v>
      </c>
      <c r="AA25" s="1368"/>
      <c r="AB25" s="1368">
        <v>578</v>
      </c>
      <c r="AC25" s="1368"/>
      <c r="AE25" s="482">
        <f t="shared" si="5"/>
        <v>0.32590000000000002</v>
      </c>
      <c r="AF25" s="482">
        <f t="shared" ref="AF25:AH25" si="30">AE25</f>
        <v>0.32590000000000002</v>
      </c>
      <c r="AG25" s="482">
        <f t="shared" si="30"/>
        <v>0.32590000000000002</v>
      </c>
      <c r="AH25" s="482">
        <f t="shared" si="30"/>
        <v>0.32590000000000002</v>
      </c>
    </row>
    <row r="26" spans="1:34" ht="30" x14ac:dyDescent="0.25">
      <c r="A26" s="586">
        <v>8</v>
      </c>
      <c r="B26" s="35" t="s">
        <v>661</v>
      </c>
      <c r="C26" s="345" t="s">
        <v>12</v>
      </c>
      <c r="D26" s="1344">
        <f t="shared" si="28"/>
        <v>270</v>
      </c>
      <c r="E26" s="1344"/>
      <c r="F26" s="1344">
        <f t="shared" si="29"/>
        <v>435</v>
      </c>
      <c r="G26" s="1344"/>
      <c r="Z26" s="1368">
        <v>204</v>
      </c>
      <c r="AA26" s="1368"/>
      <c r="AB26" s="1368">
        <v>327</v>
      </c>
      <c r="AC26" s="1368"/>
      <c r="AE26" s="482">
        <f t="shared" si="5"/>
        <v>0.32590000000000002</v>
      </c>
      <c r="AF26" s="482">
        <f t="shared" ref="AF26:AH26" si="31">AE26</f>
        <v>0.32590000000000002</v>
      </c>
      <c r="AG26" s="482">
        <f t="shared" si="31"/>
        <v>0.32590000000000002</v>
      </c>
      <c r="AH26" s="482">
        <f t="shared" si="31"/>
        <v>0.32590000000000002</v>
      </c>
    </row>
    <row r="27" spans="1:34" x14ac:dyDescent="0.25">
      <c r="A27" s="1371" t="s">
        <v>660</v>
      </c>
      <c r="B27" s="1371"/>
      <c r="C27" s="1371"/>
      <c r="D27" s="1371"/>
      <c r="E27" s="1371"/>
      <c r="F27" s="1371"/>
      <c r="G27" s="1371"/>
      <c r="Z27" s="582"/>
      <c r="AA27" s="582"/>
      <c r="AB27" s="582"/>
      <c r="AC27" s="582"/>
      <c r="AE27" s="482">
        <f t="shared" si="5"/>
        <v>0.32590000000000002</v>
      </c>
      <c r="AF27" s="482">
        <f t="shared" ref="AF27:AH27" si="32">AE27</f>
        <v>0.32590000000000002</v>
      </c>
      <c r="AG27" s="482">
        <f t="shared" si="32"/>
        <v>0.32590000000000002</v>
      </c>
      <c r="AH27" s="482">
        <f t="shared" si="32"/>
        <v>0.32590000000000002</v>
      </c>
    </row>
    <row r="28" spans="1:34" ht="30" x14ac:dyDescent="0.25">
      <c r="A28" s="586">
        <v>9</v>
      </c>
      <c r="B28" s="563" t="s">
        <v>625</v>
      </c>
      <c r="C28" s="585" t="s">
        <v>662</v>
      </c>
      <c r="D28" s="1344">
        <f>MROUND((Z28+Z28*AE28),5)</f>
        <v>345</v>
      </c>
      <c r="E28" s="1344"/>
      <c r="F28" s="1344">
        <f>MROUND((AB28+AB28*AG28),5)</f>
        <v>555</v>
      </c>
      <c r="G28" s="1344"/>
      <c r="Z28" s="1368">
        <v>261</v>
      </c>
      <c r="AA28" s="1368"/>
      <c r="AB28" s="1368">
        <v>418</v>
      </c>
      <c r="AC28" s="1368"/>
      <c r="AE28" s="482">
        <f t="shared" si="5"/>
        <v>0.32590000000000002</v>
      </c>
      <c r="AF28" s="482">
        <f t="shared" ref="AF28:AH28" si="33">AE28</f>
        <v>0.32590000000000002</v>
      </c>
      <c r="AG28" s="482">
        <f t="shared" si="33"/>
        <v>0.32590000000000002</v>
      </c>
      <c r="AH28" s="482">
        <f t="shared" si="33"/>
        <v>0.32590000000000002</v>
      </c>
    </row>
    <row r="29" spans="1:34" ht="45" x14ac:dyDescent="0.25">
      <c r="A29" s="586">
        <v>10</v>
      </c>
      <c r="B29" s="563" t="s">
        <v>663</v>
      </c>
      <c r="C29" s="585" t="s">
        <v>433</v>
      </c>
      <c r="D29" s="1344">
        <f>MROUND((Z29+Z29*AE29),5)</f>
        <v>240</v>
      </c>
      <c r="E29" s="1344"/>
      <c r="F29" s="1344">
        <f>MROUND((AB29+AB29*AG29),5)</f>
        <v>385</v>
      </c>
      <c r="G29" s="1344"/>
      <c r="Z29" s="1368">
        <v>181</v>
      </c>
      <c r="AA29" s="1368"/>
      <c r="AB29" s="1368">
        <v>289</v>
      </c>
      <c r="AC29" s="1368"/>
      <c r="AE29" s="482">
        <f t="shared" si="5"/>
        <v>0.32590000000000002</v>
      </c>
      <c r="AF29" s="482">
        <f t="shared" ref="AF29:AH29" si="34">AE29</f>
        <v>0.32590000000000002</v>
      </c>
      <c r="AG29" s="482">
        <f t="shared" si="34"/>
        <v>0.32590000000000002</v>
      </c>
      <c r="AH29" s="482">
        <f t="shared" si="34"/>
        <v>0.32590000000000002</v>
      </c>
    </row>
    <row r="30" spans="1:34" x14ac:dyDescent="0.25">
      <c r="A30" s="1371" t="s">
        <v>658</v>
      </c>
      <c r="B30" s="1371"/>
      <c r="C30" s="1371"/>
      <c r="D30" s="1371"/>
      <c r="E30" s="1371"/>
      <c r="F30" s="1371"/>
      <c r="G30" s="1371"/>
      <c r="AE30" s="482">
        <f t="shared" si="5"/>
        <v>0.32590000000000002</v>
      </c>
      <c r="AF30" s="482">
        <f t="shared" ref="AF30:AH30" si="35">AE30</f>
        <v>0.32590000000000002</v>
      </c>
      <c r="AG30" s="482">
        <f t="shared" si="35"/>
        <v>0.32590000000000002</v>
      </c>
      <c r="AH30" s="482">
        <f t="shared" si="35"/>
        <v>0.32590000000000002</v>
      </c>
    </row>
    <row r="31" spans="1:34" ht="30" x14ac:dyDescent="0.25">
      <c r="A31" s="586">
        <v>11</v>
      </c>
      <c r="B31" s="563" t="s">
        <v>627</v>
      </c>
      <c r="C31" s="585" t="s">
        <v>433</v>
      </c>
      <c r="D31" s="1344">
        <f>MROUND((Z31+Z31*AE31),5)</f>
        <v>75</v>
      </c>
      <c r="E31" s="1344"/>
      <c r="F31" s="1344">
        <f>MROUND((AB31+AB31*AG31),5)</f>
        <v>120</v>
      </c>
      <c r="G31" s="1344"/>
      <c r="Z31" s="1368">
        <v>57</v>
      </c>
      <c r="AA31" s="1368"/>
      <c r="AB31" s="1368">
        <v>91</v>
      </c>
      <c r="AC31" s="1368"/>
      <c r="AE31" s="482">
        <f t="shared" si="5"/>
        <v>0.32590000000000002</v>
      </c>
      <c r="AF31" s="482">
        <f t="shared" ref="AF31:AH31" si="36">AE31</f>
        <v>0.32590000000000002</v>
      </c>
      <c r="AG31" s="482">
        <f t="shared" si="36"/>
        <v>0.32590000000000002</v>
      </c>
      <c r="AH31" s="482">
        <f t="shared" si="36"/>
        <v>0.32590000000000002</v>
      </c>
    </row>
    <row r="32" spans="1:34" ht="30" x14ac:dyDescent="0.25">
      <c r="A32" s="586">
        <v>12</v>
      </c>
      <c r="B32" s="563" t="s">
        <v>628</v>
      </c>
      <c r="C32" s="585" t="s">
        <v>433</v>
      </c>
      <c r="D32" s="1344">
        <f t="shared" ref="D32:D33" si="37">MROUND((Z32+Z32*AE32),5)</f>
        <v>55</v>
      </c>
      <c r="E32" s="1344"/>
      <c r="F32" s="1344">
        <f t="shared" ref="F32:F33" si="38">MROUND((AB32+AB32*AG32),5)</f>
        <v>90</v>
      </c>
      <c r="G32" s="1344"/>
      <c r="Z32" s="1368">
        <v>43</v>
      </c>
      <c r="AA32" s="1368"/>
      <c r="AB32" s="1368">
        <v>68</v>
      </c>
      <c r="AC32" s="1368"/>
      <c r="AE32" s="482">
        <f t="shared" si="5"/>
        <v>0.32590000000000002</v>
      </c>
      <c r="AF32" s="482">
        <f t="shared" ref="AF32:AH32" si="39">AE32</f>
        <v>0.32590000000000002</v>
      </c>
      <c r="AG32" s="482">
        <f t="shared" si="39"/>
        <v>0.32590000000000002</v>
      </c>
      <c r="AH32" s="482">
        <f t="shared" si="39"/>
        <v>0.32590000000000002</v>
      </c>
    </row>
    <row r="33" spans="1:34" x14ac:dyDescent="0.25">
      <c r="A33" s="586">
        <v>13</v>
      </c>
      <c r="B33" s="563" t="s">
        <v>629</v>
      </c>
      <c r="C33" s="585" t="s">
        <v>433</v>
      </c>
      <c r="D33" s="1344">
        <f t="shared" si="37"/>
        <v>105</v>
      </c>
      <c r="E33" s="1344"/>
      <c r="F33" s="1344">
        <f t="shared" si="38"/>
        <v>170</v>
      </c>
      <c r="G33" s="1344"/>
      <c r="Z33" s="1368">
        <v>81</v>
      </c>
      <c r="AA33" s="1368"/>
      <c r="AB33" s="1368">
        <v>129</v>
      </c>
      <c r="AC33" s="1368"/>
      <c r="AE33" s="482">
        <f t="shared" si="5"/>
        <v>0.32590000000000002</v>
      </c>
      <c r="AF33" s="482">
        <f t="shared" ref="AF33:AH33" si="40">AE33</f>
        <v>0.32590000000000002</v>
      </c>
      <c r="AG33" s="482">
        <f t="shared" si="40"/>
        <v>0.32590000000000002</v>
      </c>
      <c r="AH33" s="482">
        <f t="shared" si="40"/>
        <v>0.32590000000000002</v>
      </c>
    </row>
    <row r="34" spans="1:34" x14ac:dyDescent="0.25">
      <c r="A34" s="1371" t="s">
        <v>657</v>
      </c>
      <c r="B34" s="1371"/>
      <c r="C34" s="1371"/>
      <c r="D34" s="1371"/>
      <c r="E34" s="1371"/>
      <c r="F34" s="1371"/>
      <c r="G34" s="1371"/>
      <c r="Z34" s="582"/>
      <c r="AA34" s="582"/>
      <c r="AB34" s="582"/>
      <c r="AC34" s="582"/>
      <c r="AE34" s="482">
        <f t="shared" si="5"/>
        <v>0.32590000000000002</v>
      </c>
      <c r="AF34" s="482">
        <f t="shared" ref="AF34:AH34" si="41">AE34</f>
        <v>0.32590000000000002</v>
      </c>
      <c r="AG34" s="482">
        <f t="shared" si="41"/>
        <v>0.32590000000000002</v>
      </c>
      <c r="AH34" s="482">
        <f t="shared" si="41"/>
        <v>0.32590000000000002</v>
      </c>
    </row>
    <row r="35" spans="1:34" x14ac:dyDescent="0.25">
      <c r="A35" s="586">
        <v>14</v>
      </c>
      <c r="B35" s="563" t="s">
        <v>651</v>
      </c>
      <c r="C35" s="585" t="s">
        <v>433</v>
      </c>
      <c r="D35" s="1344">
        <f>MROUND((Z35+Z35*AE35),5)</f>
        <v>250</v>
      </c>
      <c r="E35" s="1344"/>
      <c r="F35" s="1344">
        <f>MROUND((AB35+AB35*AG35),5)</f>
        <v>405</v>
      </c>
      <c r="G35" s="1344"/>
      <c r="Z35" s="1368">
        <v>190</v>
      </c>
      <c r="AA35" s="1368"/>
      <c r="AB35" s="1368">
        <v>304</v>
      </c>
      <c r="AC35" s="1368"/>
      <c r="AE35" s="482">
        <f t="shared" si="5"/>
        <v>0.32590000000000002</v>
      </c>
      <c r="AF35" s="482">
        <f t="shared" ref="AF35:AH35" si="42">AE35</f>
        <v>0.32590000000000002</v>
      </c>
      <c r="AG35" s="482">
        <f t="shared" si="42"/>
        <v>0.32590000000000002</v>
      </c>
      <c r="AH35" s="482">
        <f t="shared" si="42"/>
        <v>0.32590000000000002</v>
      </c>
    </row>
    <row r="36" spans="1:34" x14ac:dyDescent="0.25">
      <c r="A36" s="586">
        <v>15</v>
      </c>
      <c r="B36" s="563" t="s">
        <v>630</v>
      </c>
      <c r="C36" s="585" t="s">
        <v>433</v>
      </c>
      <c r="D36" s="1344">
        <f t="shared" ref="D36:D38" si="43">MROUND((Z36+Z36*AE36),5)</f>
        <v>145</v>
      </c>
      <c r="E36" s="1344"/>
      <c r="F36" s="1344">
        <f t="shared" ref="F36:F38" si="44">MROUND((AB36+AB36*AG36),5)</f>
        <v>230</v>
      </c>
      <c r="G36" s="1344"/>
      <c r="Z36" s="1368">
        <v>109</v>
      </c>
      <c r="AA36" s="1368"/>
      <c r="AB36" s="1368">
        <v>175</v>
      </c>
      <c r="AC36" s="1368"/>
      <c r="AE36" s="482">
        <f t="shared" si="5"/>
        <v>0.32590000000000002</v>
      </c>
      <c r="AF36" s="482">
        <f t="shared" ref="AF36:AH36" si="45">AE36</f>
        <v>0.32590000000000002</v>
      </c>
      <c r="AG36" s="482">
        <f t="shared" si="45"/>
        <v>0.32590000000000002</v>
      </c>
      <c r="AH36" s="482">
        <f t="shared" si="45"/>
        <v>0.32590000000000002</v>
      </c>
    </row>
    <row r="37" spans="1:34" x14ac:dyDescent="0.25">
      <c r="A37" s="586">
        <v>16</v>
      </c>
      <c r="B37" s="563" t="s">
        <v>649</v>
      </c>
      <c r="C37" s="585" t="s">
        <v>433</v>
      </c>
      <c r="D37" s="1344">
        <f t="shared" si="43"/>
        <v>150</v>
      </c>
      <c r="E37" s="1344"/>
      <c r="F37" s="1344">
        <f t="shared" si="44"/>
        <v>245</v>
      </c>
      <c r="G37" s="1344"/>
      <c r="Z37" s="1368">
        <v>114</v>
      </c>
      <c r="AA37" s="1368"/>
      <c r="AB37" s="1368">
        <v>183</v>
      </c>
      <c r="AC37" s="1368"/>
      <c r="AE37" s="482">
        <f t="shared" si="5"/>
        <v>0.32590000000000002</v>
      </c>
      <c r="AF37" s="482">
        <f t="shared" ref="AF37:AH37" si="46">AE37</f>
        <v>0.32590000000000002</v>
      </c>
      <c r="AG37" s="482">
        <f t="shared" si="46"/>
        <v>0.32590000000000002</v>
      </c>
      <c r="AH37" s="482">
        <f t="shared" si="46"/>
        <v>0.32590000000000002</v>
      </c>
    </row>
    <row r="38" spans="1:34" x14ac:dyDescent="0.25">
      <c r="A38" s="586">
        <v>17</v>
      </c>
      <c r="B38" s="563" t="s">
        <v>650</v>
      </c>
      <c r="C38" s="585" t="s">
        <v>433</v>
      </c>
      <c r="D38" s="1344">
        <f t="shared" si="43"/>
        <v>75</v>
      </c>
      <c r="E38" s="1344"/>
      <c r="F38" s="1344">
        <f t="shared" si="44"/>
        <v>120</v>
      </c>
      <c r="G38" s="1344"/>
      <c r="Z38" s="1368">
        <v>57</v>
      </c>
      <c r="AA38" s="1368"/>
      <c r="AB38" s="1368">
        <v>91</v>
      </c>
      <c r="AC38" s="1368"/>
      <c r="AE38" s="482">
        <f t="shared" si="5"/>
        <v>0.32590000000000002</v>
      </c>
      <c r="AF38" s="482">
        <f t="shared" ref="AF38:AH38" si="47">AE38</f>
        <v>0.32590000000000002</v>
      </c>
      <c r="AG38" s="482">
        <f t="shared" si="47"/>
        <v>0.32590000000000002</v>
      </c>
      <c r="AH38" s="482">
        <f t="shared" si="47"/>
        <v>0.32590000000000002</v>
      </c>
    </row>
    <row r="39" spans="1:34" x14ac:dyDescent="0.25">
      <c r="A39" s="1371" t="s">
        <v>656</v>
      </c>
      <c r="B39" s="1371"/>
      <c r="C39" s="1371"/>
      <c r="D39" s="1371"/>
      <c r="E39" s="1371"/>
      <c r="F39" s="1371"/>
      <c r="G39" s="1371"/>
      <c r="AE39" s="482">
        <f t="shared" si="5"/>
        <v>0.32590000000000002</v>
      </c>
      <c r="AF39" s="482">
        <f t="shared" ref="AF39:AH39" si="48">AE39</f>
        <v>0.32590000000000002</v>
      </c>
      <c r="AG39" s="482">
        <f t="shared" si="48"/>
        <v>0.32590000000000002</v>
      </c>
      <c r="AH39" s="482">
        <f t="shared" si="48"/>
        <v>0.32590000000000002</v>
      </c>
    </row>
    <row r="40" spans="1:34" x14ac:dyDescent="0.25">
      <c r="A40" s="586">
        <v>18</v>
      </c>
      <c r="B40" s="563" t="s">
        <v>664</v>
      </c>
      <c r="C40" s="345" t="s">
        <v>12</v>
      </c>
      <c r="D40" s="1344">
        <f>MROUND((Z40+Z40*AE40),10)</f>
        <v>690</v>
      </c>
      <c r="E40" s="1344"/>
      <c r="F40" s="1344"/>
      <c r="G40" s="1344"/>
      <c r="Z40" s="1368">
        <v>523</v>
      </c>
      <c r="AA40" s="1368"/>
      <c r="AB40" s="1368"/>
      <c r="AC40" s="1368"/>
      <c r="AE40" s="482">
        <f t="shared" si="5"/>
        <v>0.32590000000000002</v>
      </c>
      <c r="AF40" s="482">
        <f t="shared" ref="AF40:AH40" si="49">AE40</f>
        <v>0.32590000000000002</v>
      </c>
      <c r="AG40" s="482">
        <f t="shared" si="49"/>
        <v>0.32590000000000002</v>
      </c>
      <c r="AH40" s="482">
        <f t="shared" si="49"/>
        <v>0.32590000000000002</v>
      </c>
    </row>
    <row r="41" spans="1:34" x14ac:dyDescent="0.25">
      <c r="A41" s="586">
        <v>19</v>
      </c>
      <c r="B41" s="563" t="s">
        <v>652</v>
      </c>
      <c r="C41" s="345" t="s">
        <v>12</v>
      </c>
      <c r="D41" s="1344">
        <f>MROUND((Z41+Z41*AE41),50)</f>
        <v>2000</v>
      </c>
      <c r="E41" s="1344"/>
      <c r="F41" s="1344"/>
      <c r="G41" s="1344"/>
      <c r="Z41" s="1368">
        <v>1521</v>
      </c>
      <c r="AA41" s="1368"/>
      <c r="AB41" s="1368"/>
      <c r="AC41" s="1368"/>
      <c r="AE41" s="482">
        <f t="shared" si="5"/>
        <v>0.32590000000000002</v>
      </c>
      <c r="AF41" s="482">
        <f t="shared" ref="AF41:AH41" si="50">AE41</f>
        <v>0.32590000000000002</v>
      </c>
      <c r="AG41" s="482">
        <f t="shared" si="50"/>
        <v>0.32590000000000002</v>
      </c>
      <c r="AH41" s="482">
        <f t="shared" si="50"/>
        <v>0.32590000000000002</v>
      </c>
    </row>
    <row r="42" spans="1:34" x14ac:dyDescent="0.25">
      <c r="AE42" s="482"/>
    </row>
    <row r="43" spans="1:34" x14ac:dyDescent="0.25">
      <c r="A43" s="1369" t="s">
        <v>665</v>
      </c>
      <c r="B43" s="1369"/>
      <c r="C43" s="1369"/>
      <c r="D43" s="1369"/>
      <c r="E43" s="1369"/>
      <c r="F43" s="1369"/>
      <c r="G43" s="1369"/>
    </row>
    <row r="44" spans="1:34" x14ac:dyDescent="0.25">
      <c r="A44" s="1369" t="s">
        <v>666</v>
      </c>
      <c r="B44" s="1369"/>
      <c r="C44" s="1369"/>
      <c r="D44" s="1369"/>
      <c r="E44" s="1369"/>
      <c r="F44" s="1369"/>
      <c r="G44" s="1369"/>
    </row>
    <row r="45" spans="1:34" x14ac:dyDescent="0.25">
      <c r="A45" s="1369" t="s">
        <v>667</v>
      </c>
      <c r="B45" s="1369"/>
      <c r="C45" s="1369"/>
      <c r="D45" s="1369"/>
      <c r="E45" s="1369"/>
      <c r="F45" s="1369"/>
      <c r="G45" s="1369"/>
    </row>
    <row r="47" spans="1:34" ht="29.25" customHeight="1" x14ac:dyDescent="0.25">
      <c r="A47" s="600" t="s">
        <v>137</v>
      </c>
      <c r="B47" s="1306" t="s">
        <v>669</v>
      </c>
      <c r="C47" s="1306"/>
      <c r="D47" s="1306"/>
      <c r="E47" s="1306"/>
      <c r="F47" s="1306"/>
      <c r="G47" s="1306"/>
    </row>
    <row r="49" spans="1:7" ht="23.25" customHeight="1" x14ac:dyDescent="0.25">
      <c r="A49" s="858" t="s">
        <v>668</v>
      </c>
      <c r="B49" s="858"/>
      <c r="C49" s="858"/>
      <c r="D49" s="858"/>
      <c r="E49" s="858"/>
      <c r="F49" s="858"/>
      <c r="G49" s="858"/>
    </row>
  </sheetData>
  <mergeCells count="90">
    <mergeCell ref="A8:A16"/>
    <mergeCell ref="A17:G18"/>
    <mergeCell ref="A3:A6"/>
    <mergeCell ref="A2:G2"/>
    <mergeCell ref="D5:D6"/>
    <mergeCell ref="E5:E6"/>
    <mergeCell ref="F5:F6"/>
    <mergeCell ref="G5:G6"/>
    <mergeCell ref="D4:E4"/>
    <mergeCell ref="F4:G4"/>
    <mergeCell ref="D3:G3"/>
    <mergeCell ref="AB20:AC20"/>
    <mergeCell ref="D20:E20"/>
    <mergeCell ref="F20:G20"/>
    <mergeCell ref="F22:G22"/>
    <mergeCell ref="AB21:AC21"/>
    <mergeCell ref="AB22:AC22"/>
    <mergeCell ref="Z21:AA21"/>
    <mergeCell ref="Z22:AA22"/>
    <mergeCell ref="Z36:AA36"/>
    <mergeCell ref="Z37:AA37"/>
    <mergeCell ref="F19:G19"/>
    <mergeCell ref="D35:E35"/>
    <mergeCell ref="F35:G35"/>
    <mergeCell ref="A23:G23"/>
    <mergeCell ref="D25:E25"/>
    <mergeCell ref="F25:G25"/>
    <mergeCell ref="F29:G29"/>
    <mergeCell ref="D21:E21"/>
    <mergeCell ref="F21:G21"/>
    <mergeCell ref="D22:E22"/>
    <mergeCell ref="A34:G34"/>
    <mergeCell ref="A30:G30"/>
    <mergeCell ref="A27:G27"/>
    <mergeCell ref="Z20:AA20"/>
    <mergeCell ref="D40:G40"/>
    <mergeCell ref="A39:G39"/>
    <mergeCell ref="AB29:AC29"/>
    <mergeCell ref="AB26:AC26"/>
    <mergeCell ref="B3:B6"/>
    <mergeCell ref="C3:C6"/>
    <mergeCell ref="B8:G8"/>
    <mergeCell ref="Z29:AA29"/>
    <mergeCell ref="Z24:AA24"/>
    <mergeCell ref="Z25:AA25"/>
    <mergeCell ref="Z28:AA28"/>
    <mergeCell ref="Z26:AA26"/>
    <mergeCell ref="AB24:AC24"/>
    <mergeCell ref="AB25:AC25"/>
    <mergeCell ref="AB28:AC28"/>
    <mergeCell ref="Z38:AA38"/>
    <mergeCell ref="D24:E24"/>
    <mergeCell ref="F24:G24"/>
    <mergeCell ref="D19:E19"/>
    <mergeCell ref="F36:G36"/>
    <mergeCell ref="D26:E26"/>
    <mergeCell ref="F26:G2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AB36:AC36"/>
    <mergeCell ref="A49:G49"/>
    <mergeCell ref="B47:G47"/>
    <mergeCell ref="AB37:AC37"/>
    <mergeCell ref="AB38:AC38"/>
    <mergeCell ref="A45:G45"/>
    <mergeCell ref="Z40:AC40"/>
    <mergeCell ref="Z41:AC41"/>
    <mergeCell ref="D36:E36"/>
    <mergeCell ref="A43:G43"/>
    <mergeCell ref="A44:G44"/>
    <mergeCell ref="D41:G41"/>
    <mergeCell ref="D37:E37"/>
    <mergeCell ref="F37:G37"/>
    <mergeCell ref="D38:E38"/>
    <mergeCell ref="F38:G38"/>
    <mergeCell ref="Z31:AA31"/>
    <mergeCell ref="AB31:AC31"/>
    <mergeCell ref="AB32:AC32"/>
    <mergeCell ref="AB33:AC33"/>
    <mergeCell ref="AB35:AC35"/>
    <mergeCell ref="Z32:AA32"/>
    <mergeCell ref="Z33:AA33"/>
    <mergeCell ref="Z35:AA35"/>
  </mergeCells>
  <phoneticPr fontId="17" alignment="center"/>
  <hyperlinks>
    <hyperlink ref="H2" location="СОДЕРЖАНИЕ!A1" display="назад к содержанию" xr:uid="{B98CDF98-9E2E-FE43-9E30-ACB9F7EF29DB}"/>
    <hyperlink ref="Y2" location="Спасибо!A3" display="Спасибо!" xr:uid="{FBC01E11-D8D7-D247-B1D8-EB0EFEEBBE3D}"/>
  </hyperlink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206E-6CCA-3F4B-882E-830C9E2C760A}">
  <dimension ref="A1:G13"/>
  <sheetViews>
    <sheetView workbookViewId="0">
      <selection activeCell="B22" sqref="B22"/>
    </sheetView>
  </sheetViews>
  <sheetFormatPr defaultRowHeight="15" x14ac:dyDescent="0.25"/>
  <cols>
    <col min="1" max="1" width="4.5703125" customWidth="1"/>
    <col min="2" max="2" width="53.28515625" style="18" bestFit="1" customWidth="1"/>
    <col min="3" max="3" width="10.42578125" customWidth="1"/>
    <col min="4" max="4" width="14.140625" bestFit="1" customWidth="1"/>
    <col min="5" max="5" width="12.7109375" style="18" bestFit="1" customWidth="1"/>
    <col min="6" max="7" width="8.5703125" hidden="1" customWidth="1"/>
  </cols>
  <sheetData>
    <row r="1" spans="1:7" ht="15.75" thickBot="1" x14ac:dyDescent="0.3">
      <c r="B1" s="753" t="str">
        <f>'4.4 Штукатурные работы'!B1</f>
        <v>Актуально на 01 апреля 2022</v>
      </c>
    </row>
    <row r="2" spans="1:7" ht="30.75" thickBot="1" x14ac:dyDescent="0.4">
      <c r="A2" s="854" t="s">
        <v>782</v>
      </c>
      <c r="B2" s="854"/>
      <c r="C2" s="854"/>
      <c r="D2" s="854"/>
      <c r="E2" s="236" t="s">
        <v>302</v>
      </c>
      <c r="G2" s="15" t="s">
        <v>544</v>
      </c>
    </row>
    <row r="3" spans="1:7" ht="15.75" thickBot="1" x14ac:dyDescent="0.3">
      <c r="A3" s="62" t="s">
        <v>1</v>
      </c>
      <c r="B3" s="398" t="s">
        <v>2</v>
      </c>
      <c r="C3" s="62" t="s">
        <v>3</v>
      </c>
      <c r="D3" s="62" t="s">
        <v>4</v>
      </c>
      <c r="E3" s="579" t="s">
        <v>622</v>
      </c>
    </row>
    <row r="4" spans="1:7" ht="18.75" x14ac:dyDescent="0.25">
      <c r="A4" s="713">
        <v>1</v>
      </c>
      <c r="B4" s="739" t="s">
        <v>80</v>
      </c>
      <c r="C4" s="713" t="s">
        <v>12</v>
      </c>
      <c r="D4" s="740">
        <f>MROUND((F4+F4*G4),5)</f>
        <v>445</v>
      </c>
      <c r="F4" s="379">
        <f>'1.8 Кровельный пирог'!J33</f>
        <v>335</v>
      </c>
      <c r="G4" s="482">
        <f>инфляция!A2</f>
        <v>0.32590000000000002</v>
      </c>
    </row>
    <row r="5" spans="1:7" ht="18.75" x14ac:dyDescent="0.25">
      <c r="A5" s="713">
        <v>2</v>
      </c>
      <c r="B5" s="739" t="s">
        <v>787</v>
      </c>
      <c r="C5" s="713" t="s">
        <v>35</v>
      </c>
      <c r="D5" s="740">
        <f>MROUND((F5+F5*G5),5)</f>
        <v>225</v>
      </c>
      <c r="F5" s="379">
        <f>'1.8 Кровельный пирог'!J34</f>
        <v>170</v>
      </c>
      <c r="G5" s="482">
        <f>G4</f>
        <v>0.32590000000000002</v>
      </c>
    </row>
    <row r="6" spans="1:7" ht="18.75" x14ac:dyDescent="0.25">
      <c r="A6" s="713">
        <v>3</v>
      </c>
      <c r="B6" s="739" t="s">
        <v>784</v>
      </c>
      <c r="C6" s="713" t="s">
        <v>12</v>
      </c>
      <c r="D6" s="740">
        <f>MROUND((F6+F6*G6),5)</f>
        <v>795</v>
      </c>
      <c r="F6" s="379">
        <f>'1.8 Кровельный пирог'!J14</f>
        <v>600</v>
      </c>
      <c r="G6" s="482">
        <f t="shared" ref="G6" si="0">G5</f>
        <v>0.32590000000000002</v>
      </c>
    </row>
    <row r="7" spans="1:7" ht="30" x14ac:dyDescent="0.25">
      <c r="A7" s="713">
        <v>4</v>
      </c>
      <c r="B7" s="739" t="s">
        <v>786</v>
      </c>
      <c r="C7" s="713" t="s">
        <v>35</v>
      </c>
      <c r="D7" s="740">
        <f>MROUND((F7+F7*G7),5)</f>
        <v>695</v>
      </c>
      <c r="F7" s="379">
        <v>525</v>
      </c>
      <c r="G7" s="482">
        <f>G6</f>
        <v>0.32590000000000002</v>
      </c>
    </row>
    <row r="8" spans="1:7" ht="18.75" x14ac:dyDescent="0.25">
      <c r="A8" s="736">
        <v>5</v>
      </c>
      <c r="B8" s="737" t="s">
        <v>82</v>
      </c>
      <c r="C8" s="736" t="s">
        <v>12</v>
      </c>
      <c r="D8" s="738">
        <f>MROUND((F8+F8*G8),5)</f>
        <v>465</v>
      </c>
      <c r="F8" s="379">
        <f>'1.8 Кровельный пирог'!J39</f>
        <v>350</v>
      </c>
      <c r="G8" s="482">
        <f>G6</f>
        <v>0.32590000000000002</v>
      </c>
    </row>
    <row r="9" spans="1:7" ht="18.75" x14ac:dyDescent="0.25">
      <c r="A9" s="733">
        <v>6</v>
      </c>
      <c r="B9" s="734" t="s">
        <v>783</v>
      </c>
      <c r="C9" s="733" t="s">
        <v>12</v>
      </c>
      <c r="D9" s="735">
        <f t="shared" ref="D9:D10" si="1">MROUND((F9+F9*G9),5)</f>
        <v>220</v>
      </c>
      <c r="F9" s="379">
        <f>F4*0.5</f>
        <v>167.5</v>
      </c>
      <c r="G9" s="482">
        <f t="shared" ref="G9:G10" si="2">G7</f>
        <v>0.32590000000000002</v>
      </c>
    </row>
    <row r="10" spans="1:7" ht="18.75" x14ac:dyDescent="0.25">
      <c r="A10" s="733">
        <v>7</v>
      </c>
      <c r="B10" s="734" t="s">
        <v>785</v>
      </c>
      <c r="C10" s="733" t="s">
        <v>12</v>
      </c>
      <c r="D10" s="735">
        <f t="shared" si="1"/>
        <v>400</v>
      </c>
      <c r="F10" s="379">
        <f>F6*0.5</f>
        <v>300</v>
      </c>
      <c r="G10" s="482">
        <f t="shared" si="2"/>
        <v>0.32590000000000002</v>
      </c>
    </row>
    <row r="11" spans="1:7" ht="18.75" x14ac:dyDescent="0.25">
      <c r="A11" s="392"/>
      <c r="B11" s="394"/>
      <c r="C11" s="729"/>
      <c r="D11" s="395"/>
    </row>
    <row r="12" spans="1:7" ht="18.75" customHeight="1" x14ac:dyDescent="0.25">
      <c r="A12" s="392"/>
      <c r="B12" s="855" t="s">
        <v>668</v>
      </c>
      <c r="C12" s="855"/>
      <c r="D12" s="855"/>
    </row>
    <row r="13" spans="1:7" ht="18.75" x14ac:dyDescent="0.25">
      <c r="A13" s="392"/>
      <c r="B13" s="394"/>
      <c r="C13" s="729"/>
      <c r="D13" s="395"/>
    </row>
  </sheetData>
  <mergeCells count="2">
    <mergeCell ref="A2:D2"/>
    <mergeCell ref="B12:D12"/>
  </mergeCells>
  <hyperlinks>
    <hyperlink ref="E2" location="СОДЕРЖАНИЕ!A1" display="назад к содержанию" xr:uid="{4D4E0E3E-91E0-E748-98B9-4526F331563D}"/>
    <hyperlink ref="E3" location="Спасибо!A3" display="Спасибо!" xr:uid="{9F60C0DF-A978-AF4D-B6FA-88AF10E99472}"/>
  </hyperlink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03AC-B971-EB44-890B-E5B34A77E9F6}">
  <dimension ref="A1:S22"/>
  <sheetViews>
    <sheetView topLeftCell="B1" workbookViewId="0">
      <selection activeCell="H2" sqref="H2"/>
    </sheetView>
  </sheetViews>
  <sheetFormatPr defaultRowHeight="15" x14ac:dyDescent="0.25"/>
  <cols>
    <col min="1" max="1" width="4.5703125" customWidth="1"/>
    <col min="2" max="2" width="40.85546875" style="18" customWidth="1"/>
    <col min="3" max="3" width="10.42578125" customWidth="1"/>
    <col min="4" max="4" width="19.42578125" bestFit="1" customWidth="1"/>
    <col min="5" max="5" width="10.7109375" bestFit="1" customWidth="1"/>
    <col min="6" max="6" width="8.7109375" bestFit="1" customWidth="1"/>
    <col min="7" max="7" width="10.42578125" customWidth="1"/>
    <col min="8" max="8" width="12.7109375" style="18" bestFit="1" customWidth="1"/>
    <col min="9" max="10" width="10.140625" hidden="1" customWidth="1"/>
    <col min="11" max="14" width="8.5703125" hidden="1" customWidth="1"/>
    <col min="15" max="17" width="8.5703125" customWidth="1"/>
    <col min="18" max="18" width="12" customWidth="1"/>
    <col min="19" max="19" width="8.7109375" style="315" bestFit="1" customWidth="1"/>
  </cols>
  <sheetData>
    <row r="1" spans="1:14" ht="15.75" thickBot="1" x14ac:dyDescent="0.3">
      <c r="B1" s="753" t="str">
        <f>'4.5 Водосточная система'!B1</f>
        <v>Актуально на 01 апреля 2022</v>
      </c>
    </row>
    <row r="2" spans="1:14" ht="42.75" customHeight="1" thickBot="1" x14ac:dyDescent="0.4">
      <c r="A2" s="854" t="s">
        <v>806</v>
      </c>
      <c r="B2" s="854"/>
      <c r="C2" s="1399"/>
      <c r="D2" s="1399"/>
      <c r="E2" s="1399"/>
      <c r="F2" s="1399"/>
      <c r="G2" s="1399"/>
      <c r="H2" s="236" t="s">
        <v>302</v>
      </c>
      <c r="L2" s="15" t="s">
        <v>544</v>
      </c>
    </row>
    <row r="3" spans="1:14" ht="19.5" thickBot="1" x14ac:dyDescent="0.35">
      <c r="A3" s="1418" t="s">
        <v>1</v>
      </c>
      <c r="B3" s="1420" t="s">
        <v>2</v>
      </c>
      <c r="C3" s="1422" t="s">
        <v>807</v>
      </c>
      <c r="D3" s="1422"/>
      <c r="E3" s="1422"/>
      <c r="F3" s="748"/>
      <c r="G3" s="50"/>
      <c r="H3" s="747"/>
      <c r="L3" s="15"/>
    </row>
    <row r="4" spans="1:14" ht="27" customHeight="1" thickBot="1" x14ac:dyDescent="0.3">
      <c r="A4" s="1419"/>
      <c r="B4" s="1421"/>
      <c r="C4" s="1402" t="s">
        <v>3</v>
      </c>
      <c r="D4" s="1408" t="s">
        <v>797</v>
      </c>
      <c r="E4" s="1408" t="s">
        <v>796</v>
      </c>
      <c r="F4" s="1404" t="s">
        <v>3</v>
      </c>
      <c r="G4" s="1406" t="s">
        <v>798</v>
      </c>
      <c r="H4" s="679" t="s">
        <v>622</v>
      </c>
    </row>
    <row r="5" spans="1:14" ht="18.75" x14ac:dyDescent="0.25">
      <c r="A5" s="1400" t="s">
        <v>799</v>
      </c>
      <c r="B5" s="1401"/>
      <c r="C5" s="1403"/>
      <c r="D5" s="1409"/>
      <c r="E5" s="1409"/>
      <c r="F5" s="1405"/>
      <c r="G5" s="1407"/>
      <c r="I5" s="30"/>
      <c r="J5" s="30"/>
      <c r="K5" s="30"/>
      <c r="L5" s="482">
        <f>инфляция!A2</f>
        <v>0.32590000000000002</v>
      </c>
      <c r="M5" s="482">
        <f>L5</f>
        <v>0.32590000000000002</v>
      </c>
      <c r="N5" s="482">
        <f>M5</f>
        <v>0.32590000000000002</v>
      </c>
    </row>
    <row r="6" spans="1:14" ht="18.75" x14ac:dyDescent="0.25">
      <c r="A6" s="741">
        <v>1</v>
      </c>
      <c r="B6" s="182" t="s">
        <v>790</v>
      </c>
      <c r="C6" s="1412" t="s">
        <v>678</v>
      </c>
      <c r="D6" s="743">
        <f>MROUND(I6+I6*L6,100)</f>
        <v>1000</v>
      </c>
      <c r="E6" s="743">
        <f>MROUND(J6+J6*M6,100)</f>
        <v>1600</v>
      </c>
      <c r="F6" s="1415" t="s">
        <v>12</v>
      </c>
      <c r="G6" s="743">
        <f>MROUND(K6+K6*N6,10)</f>
        <v>400</v>
      </c>
      <c r="I6" s="30">
        <f>K6*2.5</f>
        <v>750</v>
      </c>
      <c r="J6" s="30">
        <f>K6*4</f>
        <v>1200</v>
      </c>
      <c r="K6" s="30">
        <v>300</v>
      </c>
      <c r="L6" s="482">
        <f>L5</f>
        <v>0.32590000000000002</v>
      </c>
      <c r="M6" s="482">
        <f t="shared" ref="M6:N6" si="0">L6</f>
        <v>0.32590000000000002</v>
      </c>
      <c r="N6" s="482">
        <f t="shared" si="0"/>
        <v>0.32590000000000002</v>
      </c>
    </row>
    <row r="7" spans="1:14" ht="18.75" x14ac:dyDescent="0.25">
      <c r="A7" s="36">
        <v>2</v>
      </c>
      <c r="B7" s="182" t="s">
        <v>791</v>
      </c>
      <c r="C7" s="1413"/>
      <c r="D7" s="743">
        <f t="shared" ref="D7:D16" si="1">MROUND(I7+I7*L7,100)</f>
        <v>1300</v>
      </c>
      <c r="E7" s="743">
        <f t="shared" ref="E7:E16" si="2">MROUND(J7+J7*M7,100)</f>
        <v>2100</v>
      </c>
      <c r="F7" s="1416"/>
      <c r="G7" s="743">
        <f t="shared" ref="G7:G9" si="3">MROUND(K7+K7*N7,10)</f>
        <v>530</v>
      </c>
      <c r="I7" s="30">
        <f t="shared" ref="I7:I16" si="4">K7*2.5</f>
        <v>1000</v>
      </c>
      <c r="J7" s="30">
        <f t="shared" ref="J7:J16" si="5">K7*4</f>
        <v>1600</v>
      </c>
      <c r="K7" s="30">
        <v>400</v>
      </c>
      <c r="L7" s="482">
        <f t="shared" ref="L7:L16" si="6">L6</f>
        <v>0.32590000000000002</v>
      </c>
      <c r="M7" s="482">
        <f t="shared" ref="M7:N7" si="7">L7</f>
        <v>0.32590000000000002</v>
      </c>
      <c r="N7" s="482">
        <f t="shared" si="7"/>
        <v>0.32590000000000002</v>
      </c>
    </row>
    <row r="8" spans="1:14" ht="18.75" x14ac:dyDescent="0.25">
      <c r="A8" s="36">
        <v>3</v>
      </c>
      <c r="B8" s="182" t="s">
        <v>804</v>
      </c>
      <c r="C8" s="1413"/>
      <c r="D8" s="743">
        <f t="shared" si="1"/>
        <v>1700</v>
      </c>
      <c r="E8" s="743">
        <f t="shared" si="2"/>
        <v>2700</v>
      </c>
      <c r="F8" s="1416"/>
      <c r="G8" s="743">
        <f t="shared" si="3"/>
        <v>660</v>
      </c>
      <c r="I8" s="30">
        <f t="shared" si="4"/>
        <v>1250</v>
      </c>
      <c r="J8" s="30">
        <f t="shared" si="5"/>
        <v>2000</v>
      </c>
      <c r="K8" s="30">
        <v>500</v>
      </c>
      <c r="L8" s="482">
        <f t="shared" si="6"/>
        <v>0.32590000000000002</v>
      </c>
      <c r="M8" s="482">
        <f t="shared" ref="M8:N8" si="8">L8</f>
        <v>0.32590000000000002</v>
      </c>
      <c r="N8" s="482">
        <f t="shared" si="8"/>
        <v>0.32590000000000002</v>
      </c>
    </row>
    <row r="9" spans="1:14" ht="18.75" x14ac:dyDescent="0.25">
      <c r="A9" s="36">
        <v>4</v>
      </c>
      <c r="B9" s="182" t="s">
        <v>803</v>
      </c>
      <c r="C9" s="1413"/>
      <c r="D9" s="743">
        <f t="shared" si="1"/>
        <v>2200</v>
      </c>
      <c r="E9" s="743">
        <f t="shared" si="2"/>
        <v>3400</v>
      </c>
      <c r="F9" s="1416"/>
      <c r="G9" s="743">
        <f t="shared" si="3"/>
        <v>860</v>
      </c>
      <c r="I9" s="30">
        <f t="shared" si="4"/>
        <v>1625</v>
      </c>
      <c r="J9" s="30">
        <f t="shared" si="5"/>
        <v>2600</v>
      </c>
      <c r="K9" s="30">
        <v>650</v>
      </c>
      <c r="L9" s="482">
        <f t="shared" si="6"/>
        <v>0.32590000000000002</v>
      </c>
      <c r="M9" s="482">
        <f t="shared" ref="M9:N9" si="9">L9</f>
        <v>0.32590000000000002</v>
      </c>
      <c r="N9" s="482">
        <f t="shared" si="9"/>
        <v>0.32590000000000002</v>
      </c>
    </row>
    <row r="10" spans="1:14" ht="18.75" x14ac:dyDescent="0.25">
      <c r="A10" s="36">
        <v>5</v>
      </c>
      <c r="B10" s="732" t="s">
        <v>802</v>
      </c>
      <c r="C10" s="1413"/>
      <c r="D10" s="743">
        <f t="shared" si="1"/>
        <v>2800</v>
      </c>
      <c r="E10" s="743">
        <f t="shared" si="2"/>
        <v>4500</v>
      </c>
      <c r="F10" s="1416"/>
      <c r="G10" s="743">
        <f>MROUND(K10+K10*N10,50)</f>
        <v>1150</v>
      </c>
      <c r="I10" s="30">
        <f t="shared" si="4"/>
        <v>2125</v>
      </c>
      <c r="J10" s="30">
        <f t="shared" si="5"/>
        <v>3400</v>
      </c>
      <c r="K10" s="30">
        <v>850</v>
      </c>
      <c r="L10" s="482">
        <f t="shared" si="6"/>
        <v>0.32590000000000002</v>
      </c>
      <c r="M10" s="482">
        <f t="shared" ref="M10:N10" si="10">L10</f>
        <v>0.32590000000000002</v>
      </c>
      <c r="N10" s="482">
        <f t="shared" si="10"/>
        <v>0.32590000000000002</v>
      </c>
    </row>
    <row r="11" spans="1:14" ht="18.75" x14ac:dyDescent="0.25">
      <c r="A11" s="36">
        <v>6</v>
      </c>
      <c r="B11" s="732" t="s">
        <v>801</v>
      </c>
      <c r="C11" s="1413"/>
      <c r="D11" s="743">
        <f t="shared" si="1"/>
        <v>3300</v>
      </c>
      <c r="E11" s="743">
        <f t="shared" si="2"/>
        <v>5300</v>
      </c>
      <c r="F11" s="1416"/>
      <c r="G11" s="743">
        <f t="shared" ref="G11:G16" si="11">MROUND(K11+K11*N11,50)</f>
        <v>1350</v>
      </c>
      <c r="I11" s="30">
        <f t="shared" si="4"/>
        <v>2500</v>
      </c>
      <c r="J11" s="30">
        <f t="shared" si="5"/>
        <v>4000</v>
      </c>
      <c r="K11" s="30">
        <v>1000</v>
      </c>
      <c r="L11" s="482">
        <f t="shared" si="6"/>
        <v>0.32590000000000002</v>
      </c>
      <c r="M11" s="482">
        <f t="shared" ref="M11:N11" si="12">L11</f>
        <v>0.32590000000000002</v>
      </c>
      <c r="N11" s="482">
        <f t="shared" si="12"/>
        <v>0.32590000000000002</v>
      </c>
    </row>
    <row r="12" spans="1:14" ht="18.75" x14ac:dyDescent="0.25">
      <c r="A12" s="742">
        <v>7</v>
      </c>
      <c r="B12" s="732" t="s">
        <v>800</v>
      </c>
      <c r="C12" s="1413"/>
      <c r="D12" s="743">
        <f t="shared" si="1"/>
        <v>4000</v>
      </c>
      <c r="E12" s="743">
        <f t="shared" si="2"/>
        <v>6400</v>
      </c>
      <c r="F12" s="1416"/>
      <c r="G12" s="743">
        <f t="shared" si="11"/>
        <v>1600</v>
      </c>
      <c r="I12" s="30">
        <f t="shared" si="4"/>
        <v>3000</v>
      </c>
      <c r="J12" s="30">
        <f t="shared" si="5"/>
        <v>4800</v>
      </c>
      <c r="K12" s="30">
        <v>1200</v>
      </c>
      <c r="L12" s="482">
        <f t="shared" si="6"/>
        <v>0.32590000000000002</v>
      </c>
      <c r="M12" s="482">
        <f t="shared" ref="M12:N12" si="13">L12</f>
        <v>0.32590000000000002</v>
      </c>
      <c r="N12" s="482">
        <f t="shared" si="13"/>
        <v>0.32590000000000002</v>
      </c>
    </row>
    <row r="13" spans="1:14" ht="18.75" x14ac:dyDescent="0.25">
      <c r="A13" s="37">
        <v>8</v>
      </c>
      <c r="B13" s="182" t="s">
        <v>792</v>
      </c>
      <c r="C13" s="1413"/>
      <c r="D13" s="743">
        <f t="shared" si="1"/>
        <v>5000</v>
      </c>
      <c r="E13" s="743">
        <f t="shared" si="2"/>
        <v>8000</v>
      </c>
      <c r="F13" s="1416"/>
      <c r="G13" s="743">
        <f t="shared" si="11"/>
        <v>2000</v>
      </c>
      <c r="I13" s="30">
        <f t="shared" si="4"/>
        <v>3750</v>
      </c>
      <c r="J13" s="30">
        <f t="shared" si="5"/>
        <v>6000</v>
      </c>
      <c r="K13" s="30">
        <v>1500</v>
      </c>
      <c r="L13" s="482">
        <f t="shared" si="6"/>
        <v>0.32590000000000002</v>
      </c>
      <c r="M13" s="482">
        <f t="shared" ref="M13:N13" si="14">L13</f>
        <v>0.32590000000000002</v>
      </c>
      <c r="N13" s="482">
        <f t="shared" si="14"/>
        <v>0.32590000000000002</v>
      </c>
    </row>
    <row r="14" spans="1:14" ht="18.75" x14ac:dyDescent="0.25">
      <c r="A14" s="742">
        <v>9</v>
      </c>
      <c r="B14" s="182" t="s">
        <v>793</v>
      </c>
      <c r="C14" s="1413"/>
      <c r="D14" s="743">
        <f t="shared" si="1"/>
        <v>6600</v>
      </c>
      <c r="E14" s="743">
        <f t="shared" si="2"/>
        <v>10600</v>
      </c>
      <c r="F14" s="1416"/>
      <c r="G14" s="743">
        <f t="shared" si="11"/>
        <v>2650</v>
      </c>
      <c r="I14" s="30">
        <f t="shared" si="4"/>
        <v>5000</v>
      </c>
      <c r="J14" s="30">
        <f t="shared" si="5"/>
        <v>8000</v>
      </c>
      <c r="K14" s="30">
        <v>2000</v>
      </c>
      <c r="L14" s="482">
        <f t="shared" si="6"/>
        <v>0.32590000000000002</v>
      </c>
      <c r="M14" s="482">
        <f t="shared" ref="M14:N14" si="15">L14</f>
        <v>0.32590000000000002</v>
      </c>
      <c r="N14" s="482">
        <f t="shared" si="15"/>
        <v>0.32590000000000002</v>
      </c>
    </row>
    <row r="15" spans="1:14" ht="18.75" x14ac:dyDescent="0.25">
      <c r="A15" s="37">
        <v>10</v>
      </c>
      <c r="B15" s="182" t="s">
        <v>794</v>
      </c>
      <c r="C15" s="1413"/>
      <c r="D15" s="743">
        <f t="shared" si="1"/>
        <v>8300</v>
      </c>
      <c r="E15" s="743">
        <f t="shared" si="2"/>
        <v>13300</v>
      </c>
      <c r="F15" s="1416"/>
      <c r="G15" s="743">
        <f t="shared" si="11"/>
        <v>3300</v>
      </c>
      <c r="I15" s="30">
        <f t="shared" si="4"/>
        <v>6250</v>
      </c>
      <c r="J15" s="30">
        <f t="shared" si="5"/>
        <v>10000</v>
      </c>
      <c r="K15" s="30">
        <v>2500</v>
      </c>
      <c r="L15" s="482">
        <f t="shared" si="6"/>
        <v>0.32590000000000002</v>
      </c>
      <c r="M15" s="482">
        <f t="shared" ref="M15:N15" si="16">L15</f>
        <v>0.32590000000000002</v>
      </c>
      <c r="N15" s="482">
        <f t="shared" si="16"/>
        <v>0.32590000000000002</v>
      </c>
    </row>
    <row r="16" spans="1:14" ht="18.75" x14ac:dyDescent="0.25">
      <c r="A16" s="742">
        <v>11</v>
      </c>
      <c r="B16" s="744" t="s">
        <v>795</v>
      </c>
      <c r="C16" s="1414"/>
      <c r="D16" s="743">
        <f t="shared" si="1"/>
        <v>10900</v>
      </c>
      <c r="E16" s="743">
        <f t="shared" si="2"/>
        <v>17500</v>
      </c>
      <c r="F16" s="1417"/>
      <c r="G16" s="743">
        <f t="shared" si="11"/>
        <v>4400</v>
      </c>
      <c r="I16" s="30">
        <f t="shared" si="4"/>
        <v>8250</v>
      </c>
      <c r="J16" s="30">
        <f t="shared" si="5"/>
        <v>13200</v>
      </c>
      <c r="K16" s="30">
        <v>3300</v>
      </c>
      <c r="L16" s="482">
        <f t="shared" si="6"/>
        <v>0.32590000000000002</v>
      </c>
      <c r="M16" s="482">
        <f t="shared" ref="M16:N16" si="17">L16</f>
        <v>0.32590000000000002</v>
      </c>
      <c r="N16" s="482">
        <f t="shared" si="17"/>
        <v>0.32590000000000002</v>
      </c>
    </row>
    <row r="17" spans="1:14" ht="18.75" x14ac:dyDescent="0.25">
      <c r="A17" s="1429"/>
      <c r="B17" s="1430"/>
      <c r="C17" s="1430"/>
      <c r="D17" s="1430"/>
      <c r="E17" s="1430"/>
      <c r="F17" s="1430"/>
      <c r="G17" s="1431"/>
      <c r="I17" s="30"/>
      <c r="J17" s="30"/>
      <c r="K17" s="30"/>
      <c r="L17" s="482">
        <f t="shared" ref="L17:L19" si="18">L16</f>
        <v>0.32590000000000002</v>
      </c>
      <c r="M17" s="482">
        <f t="shared" ref="M17:N17" si="19">L17</f>
        <v>0.32590000000000002</v>
      </c>
      <c r="N17" s="482">
        <f t="shared" si="19"/>
        <v>0.32590000000000002</v>
      </c>
    </row>
    <row r="18" spans="1:14" ht="60" customHeight="1" x14ac:dyDescent="0.25">
      <c r="A18" s="120">
        <v>12</v>
      </c>
      <c r="B18" s="746" t="s">
        <v>805</v>
      </c>
      <c r="C18" s="119" t="s">
        <v>35</v>
      </c>
      <c r="D18" s="1426">
        <f>MROUND(I18+I18*L18,10)</f>
        <v>1330</v>
      </c>
      <c r="E18" s="1427"/>
      <c r="F18" s="1427"/>
      <c r="G18" s="1428"/>
      <c r="I18" s="1423">
        <f>'3.9 Воздуховоды'!F33</f>
        <v>1000</v>
      </c>
      <c r="J18" s="1424"/>
      <c r="K18" s="1425"/>
      <c r="L18" s="482">
        <f t="shared" si="18"/>
        <v>0.32590000000000002</v>
      </c>
      <c r="M18" s="482">
        <f t="shared" ref="M18:N18" si="20">L18</f>
        <v>0.32590000000000002</v>
      </c>
      <c r="N18" s="482">
        <f t="shared" si="20"/>
        <v>0.32590000000000002</v>
      </c>
    </row>
    <row r="19" spans="1:14" ht="18.75" x14ac:dyDescent="0.25">
      <c r="A19" s="730">
        <v>13</v>
      </c>
      <c r="B19" s="641" t="s">
        <v>426</v>
      </c>
      <c r="C19" s="28" t="s">
        <v>35</v>
      </c>
      <c r="D19" s="1426">
        <f>MROUND(I19+I19*L19,10)</f>
        <v>930</v>
      </c>
      <c r="E19" s="1427"/>
      <c r="F19" s="1427"/>
      <c r="G19" s="1428"/>
      <c r="I19" s="1423">
        <f>'3.9 Воздуховоды'!F34</f>
        <v>700</v>
      </c>
      <c r="J19" s="1424"/>
      <c r="K19" s="1425"/>
      <c r="L19" s="482">
        <f t="shared" si="18"/>
        <v>0.32590000000000002</v>
      </c>
      <c r="M19" s="482">
        <f t="shared" ref="M19:N19" si="21">L19</f>
        <v>0.32590000000000002</v>
      </c>
      <c r="N19" s="482">
        <f t="shared" si="21"/>
        <v>0.32590000000000002</v>
      </c>
    </row>
    <row r="20" spans="1:14" ht="18.75" x14ac:dyDescent="0.25">
      <c r="A20" s="1410"/>
      <c r="B20" s="1410"/>
      <c r="C20" s="1410"/>
      <c r="D20" s="1410"/>
      <c r="E20" s="1410"/>
      <c r="F20" s="1410"/>
      <c r="G20" s="1411"/>
      <c r="I20" s="745"/>
      <c r="J20" s="745"/>
      <c r="K20" s="745"/>
      <c r="L20" s="482"/>
      <c r="M20" s="482"/>
      <c r="N20" s="482"/>
    </row>
    <row r="21" spans="1:14" ht="18.75" customHeight="1" x14ac:dyDescent="0.25">
      <c r="A21" s="392"/>
      <c r="B21" s="855" t="s">
        <v>668</v>
      </c>
      <c r="C21" s="855"/>
      <c r="D21" s="855"/>
      <c r="E21" s="855"/>
      <c r="F21" s="855"/>
      <c r="G21" s="855"/>
    </row>
    <row r="22" spans="1:14" x14ac:dyDescent="0.25">
      <c r="A22" s="392"/>
      <c r="B22" s="394"/>
      <c r="C22" s="729"/>
      <c r="D22" s="731"/>
      <c r="E22" s="731"/>
      <c r="F22" s="731"/>
      <c r="G22" s="731"/>
    </row>
  </sheetData>
  <mergeCells count="19">
    <mergeCell ref="I18:K18"/>
    <mergeCell ref="I19:K19"/>
    <mergeCell ref="D18:G18"/>
    <mergeCell ref="D19:G19"/>
    <mergeCell ref="A17:G17"/>
    <mergeCell ref="A2:G2"/>
    <mergeCell ref="B21:G21"/>
    <mergeCell ref="A5:B5"/>
    <mergeCell ref="C4:C5"/>
    <mergeCell ref="F4:F5"/>
    <mergeCell ref="G4:G5"/>
    <mergeCell ref="D4:D5"/>
    <mergeCell ref="E4:E5"/>
    <mergeCell ref="A20:G20"/>
    <mergeCell ref="C6:C16"/>
    <mergeCell ref="F6:F16"/>
    <mergeCell ref="A3:A4"/>
    <mergeCell ref="B3:B4"/>
    <mergeCell ref="C3:E3"/>
  </mergeCells>
  <hyperlinks>
    <hyperlink ref="H2" location="СОДЕРЖАНИЕ!A1" display="назад к содержанию" xr:uid="{4BB57CF6-7EC8-5043-8D71-7F3654D03960}"/>
    <hyperlink ref="H4" location="Спасибо!A3" display="Спасибо!" xr:uid="{082C4C8A-3816-E848-8BE9-A2BDF8CCBF14}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0850-04BE-CD4C-9513-1AA17854A3CD}">
  <dimension ref="A1:E13"/>
  <sheetViews>
    <sheetView zoomScaleNormal="60" zoomScaleSheetLayoutView="100" workbookViewId="0">
      <selection activeCell="D16" sqref="D16"/>
    </sheetView>
  </sheetViews>
  <sheetFormatPr defaultRowHeight="15" x14ac:dyDescent="0.25"/>
  <cols>
    <col min="1" max="1" width="23.42578125" bestFit="1" customWidth="1"/>
    <col min="2" max="2" width="9.5703125" customWidth="1"/>
    <col min="3" max="3" width="10.140625" customWidth="1"/>
    <col min="5" max="5" width="10.7109375" bestFit="1" customWidth="1"/>
    <col min="7" max="7" width="10.7109375" bestFit="1" customWidth="1"/>
  </cols>
  <sheetData>
    <row r="1" spans="1:5" x14ac:dyDescent="0.25">
      <c r="A1" s="481" t="s">
        <v>543</v>
      </c>
    </row>
    <row r="2" spans="1:5" ht="33.75" x14ac:dyDescent="0.25">
      <c r="A2" s="480">
        <v>0.32590000000000002</v>
      </c>
      <c r="E2" t="s">
        <v>560</v>
      </c>
    </row>
    <row r="3" spans="1:5" ht="45" x14ac:dyDescent="0.25">
      <c r="B3" s="18" t="s">
        <v>553</v>
      </c>
      <c r="C3" s="18" t="s">
        <v>554</v>
      </c>
    </row>
    <row r="4" spans="1:5" x14ac:dyDescent="0.25">
      <c r="A4" s="483" t="s">
        <v>545</v>
      </c>
      <c r="B4" s="720">
        <v>1.0490999999999999</v>
      </c>
      <c r="C4" s="720">
        <f>B4</f>
        <v>1.0490999999999999</v>
      </c>
    </row>
    <row r="5" spans="1:5" x14ac:dyDescent="0.25">
      <c r="A5" s="483" t="s">
        <v>546</v>
      </c>
      <c r="B5" s="720">
        <v>8.3900000000000002E-2</v>
      </c>
      <c r="C5" s="720">
        <f>C4+C4*B5</f>
        <v>1.1371194899999999</v>
      </c>
    </row>
    <row r="6" spans="1:5" x14ac:dyDescent="0.25">
      <c r="A6" s="483" t="s">
        <v>868</v>
      </c>
      <c r="B6" s="720">
        <v>0.16600000000000001</v>
      </c>
      <c r="C6" s="720">
        <f t="shared" ref="C6:C13" si="0">C5+C5*B6</f>
        <v>1.3258813253399999</v>
      </c>
    </row>
    <row r="7" spans="1:5" x14ac:dyDescent="0.25">
      <c r="A7" s="483" t="s">
        <v>870</v>
      </c>
      <c r="B7" s="720"/>
      <c r="C7" s="720">
        <f t="shared" si="0"/>
        <v>1.3258813253399999</v>
      </c>
    </row>
    <row r="8" spans="1:5" x14ac:dyDescent="0.25">
      <c r="A8" s="483" t="s">
        <v>547</v>
      </c>
      <c r="B8" s="720"/>
      <c r="C8" s="720">
        <f t="shared" si="0"/>
        <v>1.3258813253399999</v>
      </c>
    </row>
    <row r="9" spans="1:5" x14ac:dyDescent="0.25">
      <c r="A9" s="483" t="s">
        <v>548</v>
      </c>
      <c r="B9" s="720"/>
      <c r="C9" s="720">
        <f t="shared" si="0"/>
        <v>1.3258813253399999</v>
      </c>
    </row>
    <row r="10" spans="1:5" x14ac:dyDescent="0.25">
      <c r="A10" s="483" t="s">
        <v>549</v>
      </c>
      <c r="B10" s="720"/>
      <c r="C10" s="720">
        <f t="shared" si="0"/>
        <v>1.3258813253399999</v>
      </c>
    </row>
    <row r="11" spans="1:5" x14ac:dyDescent="0.25">
      <c r="A11" s="483" t="s">
        <v>550</v>
      </c>
      <c r="B11" s="720"/>
      <c r="C11" s="720">
        <f t="shared" si="0"/>
        <v>1.3258813253399999</v>
      </c>
    </row>
    <row r="12" spans="1:5" x14ac:dyDescent="0.25">
      <c r="A12" s="483" t="s">
        <v>551</v>
      </c>
      <c r="B12" s="720"/>
      <c r="C12" s="720">
        <f t="shared" si="0"/>
        <v>1.3258813253399999</v>
      </c>
    </row>
    <row r="13" spans="1:5" x14ac:dyDescent="0.25">
      <c r="A13" s="483" t="s">
        <v>552</v>
      </c>
      <c r="B13" s="720"/>
      <c r="C13" s="720">
        <f t="shared" si="0"/>
        <v>1.3258813253399999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39</vt:i4>
      </vt:variant>
    </vt:vector>
  </HeadingPairs>
  <TitlesOfParts>
    <vt:vector size="39" baseType="lpstr">
      <vt:lpstr>Спасибо</vt:lpstr>
      <vt:lpstr>СОДЕРЖАНИЕ</vt:lpstr>
      <vt:lpstr>1.1 Фасадные работы</vt:lpstr>
      <vt:lpstr>1.2 Русты</vt:lpstr>
      <vt:lpstr>1.3 Мокрый фасад</vt:lpstr>
      <vt:lpstr>1.4 ПОДГОТОВКА</vt:lpstr>
      <vt:lpstr>1.5 СТЕКЛОПАКЕТЫ</vt:lpstr>
      <vt:lpstr>1.6 БАННЕРА</vt:lpstr>
      <vt:lpstr>1.7 Наплавляйка</vt:lpstr>
      <vt:lpstr>1.8 Кровельный пирог</vt:lpstr>
      <vt:lpstr>1.9 Леса и сетки</vt:lpstr>
      <vt:lpstr>1.10 Молдинги</vt:lpstr>
      <vt:lpstr>2.1 ВЕНТФАСАДЫ</vt:lpstr>
      <vt:lpstr>2.2 Очистка водосточки</vt:lpstr>
      <vt:lpstr>2.3 Такелажные работы</vt:lpstr>
      <vt:lpstr>2.4 Сэндвич-панели</vt:lpstr>
      <vt:lpstr>2.5 Герметизация мп швов</vt:lpstr>
      <vt:lpstr>2.6 Ставки, коэффициенты</vt:lpstr>
      <vt:lpstr>2.7 АКЗ</vt:lpstr>
      <vt:lpstr>2.8 Маркировочная покраска</vt:lpstr>
      <vt:lpstr>2.9 Очистка фасада</vt:lpstr>
      <vt:lpstr>2.10 Пескоструй резервуаров</vt:lpstr>
      <vt:lpstr>2.11 Пескоструй металла</vt:lpstr>
      <vt:lpstr>3.1 Деф.швы и молниеотводы</vt:lpstr>
      <vt:lpstr>3.2 Кондиционеры</vt:lpstr>
      <vt:lpstr>3.3 Демонтаж дымовых труб</vt:lpstr>
      <vt:lpstr>3.4 Защита склонов от осыпей</vt:lpstr>
      <vt:lpstr>3.5 Огнезащита</vt:lpstr>
      <vt:lpstr>3.6 Клининг</vt:lpstr>
      <vt:lpstr>3.7 Деревья</vt:lpstr>
      <vt:lpstr>3.8 Буквы</vt:lpstr>
      <vt:lpstr>3.9 Воздуховоды</vt:lpstr>
      <vt:lpstr>4.1 Фасадное освещение</vt:lpstr>
      <vt:lpstr>4.2 Корзины под сплиты</vt:lpstr>
      <vt:lpstr>4.3 Снег, наледь, сосульки</vt:lpstr>
      <vt:lpstr>4.4 Штукатурные работы</vt:lpstr>
      <vt:lpstr>4.5 Водосточная система</vt:lpstr>
      <vt:lpstr>4.6 ПНД трубы</vt:lpstr>
      <vt:lpstr>инфляция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2018-04-26T18:38:51Z</dcterms:created>
  <dcterms:modified xsi:type="dcterms:W3CDTF">2022-05-30T15:47:22Z</dcterms:modified>
</cp:coreProperties>
</file>